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bbcb3dbf594bfe/_compta/exercices/NOVE/"/>
    </mc:Choice>
  </mc:AlternateContent>
  <xr:revisionPtr revIDLastSave="7" documentId="8_{D63A1809-2914-FD4C-AC3C-8B1417F64DE7}" xr6:coauthVersionLast="47" xr6:coauthVersionMax="47" xr10:uidLastSave="{68E50A58-4D0D-E744-8D24-AF94EE2FA761}"/>
  <bookViews>
    <workbookView xWindow="19140" yWindow="540" windowWidth="17640" windowHeight="26520" xr2:uid="{D5186247-CAF7-AE43-A582-D6B9C28FDD55}"/>
  </bookViews>
  <sheets>
    <sheet name="Feuil1" sheetId="1" r:id="rId1"/>
  </sheets>
  <definedNames>
    <definedName name="_xlnm.Print_Area" localSheetId="0">Feuil1!$A$1:$F$151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1" l="1"/>
  <c r="E108" i="1"/>
  <c r="E97" i="1"/>
  <c r="E101" i="1" s="1"/>
  <c r="B123" i="1"/>
  <c r="B121" i="1"/>
  <c r="E82" i="1"/>
  <c r="F78" i="1"/>
  <c r="E73" i="1"/>
  <c r="F76" i="1" s="1"/>
  <c r="E72" i="1"/>
  <c r="F64" i="1"/>
  <c r="E63" i="1"/>
  <c r="F60" i="1"/>
  <c r="F61" i="1" s="1"/>
  <c r="B49" i="1"/>
  <c r="B46" i="1"/>
  <c r="B45" i="1"/>
  <c r="B38" i="1"/>
  <c r="F27" i="1"/>
  <c r="F26" i="1" s="1"/>
  <c r="F24" i="1"/>
  <c r="E24" i="1"/>
  <c r="F23" i="1"/>
  <c r="E23" i="1"/>
  <c r="F21" i="1"/>
  <c r="E21" i="1"/>
  <c r="F19" i="1"/>
  <c r="E19" i="1"/>
  <c r="E17" i="1"/>
  <c r="E18" i="1" s="1"/>
  <c r="F14" i="1"/>
  <c r="E12" i="1" s="1"/>
  <c r="F11" i="1"/>
  <c r="E11" i="1"/>
  <c r="F10" i="1"/>
  <c r="E10" i="1"/>
  <c r="B125" i="1" l="1"/>
  <c r="E111" i="1"/>
  <c r="B108" i="1" s="1"/>
  <c r="B113" i="1" s="1"/>
  <c r="B119" i="1" s="1"/>
  <c r="B127" i="1" s="1"/>
  <c r="B101" i="1"/>
  <c r="B104" i="1" s="1"/>
  <c r="B97" i="1"/>
  <c r="F65" i="1"/>
  <c r="F66" i="1" s="1"/>
  <c r="B106" i="1" l="1"/>
</calcChain>
</file>

<file path=xl/sharedStrings.xml><?xml version="1.0" encoding="utf-8"?>
<sst xmlns="http://schemas.openxmlformats.org/spreadsheetml/2006/main" count="317" uniqueCount="150">
  <si>
    <t>Correction Exercice NOVE</t>
  </si>
  <si>
    <t>C'est le contraire. Le bénéfice diminue</t>
  </si>
  <si>
    <t>"Pertes sur client" à "Débiteurs (douteux"</t>
  </si>
  <si>
    <t xml:space="preserve">On est avant la faillite. </t>
  </si>
  <si>
    <t xml:space="preserve">On utilise pertes sur client seulement pour : </t>
  </si>
  <si>
    <t xml:space="preserve">Faillite, Provision, Refortune (la même année). </t>
  </si>
  <si>
    <t>n°</t>
  </si>
  <si>
    <t>débit</t>
  </si>
  <si>
    <t>crédit</t>
  </si>
  <si>
    <t>libellé</t>
  </si>
  <si>
    <t>Débiteurs douteux</t>
  </si>
  <si>
    <t>Débiteurs</t>
  </si>
  <si>
    <t>Pertes sur clients</t>
  </si>
  <si>
    <t>Ducroire</t>
  </si>
  <si>
    <t>5% clients suisses et 10% clients étrangers</t>
  </si>
  <si>
    <t>-</t>
  </si>
  <si>
    <t>Ventes de marchandises</t>
  </si>
  <si>
    <t>TVA due</t>
  </si>
  <si>
    <t>Poste</t>
  </si>
  <si>
    <t>1900 pas soumis à TVA et 10'100 soumis à TVA de 7.7%</t>
  </si>
  <si>
    <t>Intérêts moratoire client</t>
  </si>
  <si>
    <t>19-08 au 10.11</t>
  </si>
  <si>
    <t>34000*1.077*81*5/36000 + 2000*60*5/36000</t>
  </si>
  <si>
    <t>Perte sur clients</t>
  </si>
  <si>
    <t>230000*1.07*0.05</t>
  </si>
  <si>
    <t>Caisse</t>
  </si>
  <si>
    <t>Produits exceptionnels</t>
  </si>
  <si>
    <t>7500 / 1.077 x 0.077</t>
  </si>
  <si>
    <t>produit</t>
  </si>
  <si>
    <t xml:space="preserve">il n'y a pas de variation de stock (mais il y a peut-être du stock…) </t>
  </si>
  <si>
    <t>CAN</t>
  </si>
  <si>
    <t>MB 25%</t>
  </si>
  <si>
    <t>PRAMV</t>
  </si>
  <si>
    <t>var. stock</t>
  </si>
  <si>
    <t>PRAMA</t>
  </si>
  <si>
    <t>PRAMA )</t>
  </si>
  <si>
    <t>PRAMV)</t>
  </si>
  <si>
    <t>Var. stock</t>
  </si>
  <si>
    <t>var. stock)</t>
  </si>
  <si>
    <t>bénéfice net</t>
  </si>
  <si>
    <t>charges exploit</t>
  </si>
  <si>
    <t>MB</t>
  </si>
  <si>
    <t xml:space="preserve">pr. Exploit. </t>
  </si>
  <si>
    <t xml:space="preserve">Ch. exploit. </t>
  </si>
  <si>
    <t xml:space="preserve">bénéf. </t>
  </si>
  <si>
    <t>var. stock (diminution de stockI</t>
  </si>
  <si>
    <t>au moment de la vente : ce n'est pas un acompte (mais un paiement partiel)</t>
  </si>
  <si>
    <t xml:space="preserve">ce n'est pas lié. </t>
  </si>
  <si>
    <t>Banque</t>
  </si>
  <si>
    <t>Acompte clients</t>
  </si>
  <si>
    <t>Achats marchandises</t>
  </si>
  <si>
    <t>TVA r/ s. m</t>
  </si>
  <si>
    <t>Acompte fournisseur</t>
  </si>
  <si>
    <t>Créancier</t>
  </si>
  <si>
    <t xml:space="preserve">Amort. </t>
  </si>
  <si>
    <t>cumul d'amort s/ machines</t>
  </si>
  <si>
    <t>40000 x 10 x 310 / 36000</t>
  </si>
  <si>
    <t>cumul d'amort. s/ machines</t>
  </si>
  <si>
    <t>8400 + 3444.45</t>
  </si>
  <si>
    <t>machine</t>
  </si>
  <si>
    <t>débiteurs</t>
  </si>
  <si>
    <t>tva due</t>
  </si>
  <si>
    <t>ch. exceptionnelles</t>
  </si>
  <si>
    <t>charges immeubles</t>
  </si>
  <si>
    <t>charges locaux</t>
  </si>
  <si>
    <t xml:space="preserve">TVA r/ s. i. </t>
  </si>
  <si>
    <t>5000 * 1.077 * 3 / 4</t>
  </si>
  <si>
    <t xml:space="preserve">5000 * 1 /4 </t>
  </si>
  <si>
    <t>1250 * 0.077</t>
  </si>
  <si>
    <t>Créanciers</t>
  </si>
  <si>
    <t>10000*1.077*.75</t>
  </si>
  <si>
    <t>10000 x .05</t>
  </si>
  <si>
    <t>Escompte obtenu</t>
  </si>
  <si>
    <t>TVA s/ march.</t>
  </si>
  <si>
    <t>500 x 0.077</t>
  </si>
  <si>
    <t>8077.5 - 538.50</t>
  </si>
  <si>
    <t>Véhicules</t>
  </si>
  <si>
    <t>3000 x 1.077</t>
  </si>
  <si>
    <t>Ch. financière</t>
  </si>
  <si>
    <t>Dette hypo.</t>
  </si>
  <si>
    <t>200000 x 2%</t>
  </si>
  <si>
    <t>en case 200 + 221</t>
  </si>
  <si>
    <t>c'est uniquement le montant de tva finale qui nous intéresse</t>
  </si>
  <si>
    <t>seulement dans la case 400</t>
  </si>
  <si>
    <t xml:space="preserve">attention : c'est forcément un montant hors taxes. </t>
  </si>
  <si>
    <t>attention : importation de services  : 380 + 405</t>
  </si>
  <si>
    <t>case</t>
  </si>
  <si>
    <t>Ventes en Suisse à 7.7%  : 35000 x 3</t>
  </si>
  <si>
    <t>300g</t>
  </si>
  <si>
    <t>300d</t>
  </si>
  <si>
    <t>Honoraires facturés durant la période 22000</t>
  </si>
  <si>
    <t>Vente d'un véhicule : 15000</t>
  </si>
  <si>
    <t>- Rabais sur ventes marchandises suisse : 10%</t>
  </si>
  <si>
    <t>TVA sur achat marchandise de 45000</t>
  </si>
  <si>
    <t>TVA sur charges exploit. (sauf loyer) de 20000 x 3</t>
  </si>
  <si>
    <t>Faillite du client Flanagans à 2.5%</t>
  </si>
  <si>
    <t>310g</t>
  </si>
  <si>
    <t>Faillite du client Flanagans à 2.5% 12000</t>
  </si>
  <si>
    <t>Rabais sur ventes marchandises suisse : 10% x 35000 x 3</t>
  </si>
  <si>
    <t>case 235</t>
  </si>
  <si>
    <t>case 200 - 289</t>
  </si>
  <si>
    <t>case 300g x 7.7 / 107.7</t>
  </si>
  <si>
    <t>310d</t>
  </si>
  <si>
    <t>case 310g x 2.5 / 102.5</t>
  </si>
  <si>
    <t>300d + 310d</t>
  </si>
  <si>
    <t>case 400 + 405</t>
  </si>
  <si>
    <t>solde à payer : 399 - 479</t>
  </si>
  <si>
    <t>20% linéaire ou 40% dégressif</t>
  </si>
  <si>
    <t>Vente march.</t>
  </si>
  <si>
    <t>PCA</t>
  </si>
  <si>
    <t>Il peut avoir un SAN; il aura en SAN son SPB</t>
  </si>
  <si>
    <t>Il sera impacté au crédit</t>
  </si>
  <si>
    <t>Capital</t>
  </si>
  <si>
    <t xml:space="preserve">il apparaît du côté charges. </t>
  </si>
  <si>
    <t xml:space="preserve"> 3)</t>
  </si>
  <si>
    <t xml:space="preserve"> 2)</t>
  </si>
  <si>
    <t xml:space="preserve"> 1)</t>
  </si>
  <si>
    <t>Journaliser les écritures de la société NOVEMBRE: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</si>
  <si>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</si>
  <si>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</si>
  <si>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</si>
  <si>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</si>
  <si>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</si>
  <si>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</si>
  <si>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</si>
  <si>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</si>
  <si>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</si>
  <si>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</si>
  <si>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ex. 2 - marchandises:</t>
  </si>
  <si>
    <t xml:space="preserve"> CAN</t>
  </si>
  <si>
    <t>( chiffre d'affaire )</t>
  </si>
  <si>
    <t>( marge )</t>
  </si>
  <si>
    <t>( CAN - MB)</t>
  </si>
  <si>
    <t>( Diminution de stock! )</t>
  </si>
  <si>
    <t>( avec 10% de rabais )</t>
  </si>
  <si>
    <t>( PRAMV + var. stock)</t>
  </si>
  <si>
    <t>( achats de 150000)</t>
  </si>
  <si>
    <t>( PRAMA-Var. de stock )</t>
  </si>
  <si>
    <t>( charge=dim. du stock=plus de ventes=PRAMV + grand )</t>
  </si>
  <si>
    <t>( 70000+4000-10000 )</t>
  </si>
  <si>
    <t>( ventes 340000-raibais fourn.40000 )</t>
  </si>
  <si>
    <t>( Bénéfice final )</t>
  </si>
  <si>
    <t>CAN 300000-MB 200000</t>
  </si>
  <si>
    <t>PRAMV-PRAMA</t>
  </si>
  <si>
    <t>ex. 3 journalisation diverse en cours d'année</t>
  </si>
  <si>
    <t>exercie 4 décompte TVA</t>
  </si>
  <si>
    <t>ex.5 journalisatoni diverse en fin d'année</t>
  </si>
  <si>
    <t>ex.6 cycle comptable</t>
  </si>
  <si>
    <t>ch. exploit+ bénérf. 
Comme il n'y a pas de pr. Expl= 200000 aussi</t>
  </si>
  <si>
    <r>
      <t>ex 1 :</t>
    </r>
    <r>
      <rPr>
        <b/>
        <u/>
        <sz val="10"/>
        <color theme="1"/>
        <rFont val="Helvetica"/>
        <family val="2"/>
      </rPr>
      <t>gestion débiteur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</si>
</sst>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u/>
      <sz val="10"/>
      <color theme="1"/>
      <name val="Helvetica"/>
      <family val="2"/>
    </font>
    <font>
      <sz val="10"/>
      <name val="Helvetic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10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right"/>
    </xf>
    <xf numFmtId="0" fontId="2" fillId="0" borderId="18" xfId="0" quotePrefix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/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Fill="1" applyBorder="1" applyAlignment="1">
      <alignment wrapText="1"/>
    </xf>
    <xf numFmtId="0" fontId="2" fillId="0" borderId="24" xfId="0" applyFont="1" applyBorder="1"/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  <xf numFmtId="0" fontId="2" fillId="0" borderId="26" xfId="0" quotePrefix="1" applyFont="1" applyBorder="1"/>
    <xf numFmtId="0" fontId="2" fillId="0" borderId="27" xfId="0" applyFont="1" applyBorder="1"/>
    <xf numFmtId="0" fontId="2" fillId="0" borderId="25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11" xfId="0" applyFont="1" applyBorder="1" applyAlignment="1">
      <alignment horizontal="left"/>
    </xf>
    <xf numFmtId="0" fontId="2" fillId="0" borderId="30" xfId="0" applyFont="1" applyBorder="1"/>
    <xf numFmtId="0" fontId="2" fillId="0" borderId="31" xfId="0" applyFont="1" applyBorder="1"/>
    <xf numFmtId="0" fontId="2" fillId="0" borderId="26" xfId="0" applyFont="1" applyBorder="1"/>
    <xf numFmtId="0" fontId="2" fillId="0" borderId="28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115453</xdr:colOff>
      <xdr:row>140</xdr:row>
      <xdr:rowOff>46183</xdr:rowOff>
    </xdr:from>
    <xdr:to>
      <xdr:col>4</xdr:col>
      <xdr:colOff>225804</xdr:colOff>
      <xdr:row>150</xdr:row>
      <xdr:rowOff>115455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4D0ECB-E3EB-9D48-A79B-4E558A771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998" y="23356456"/>
          <a:ext cx="2315533" cy="1685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7A8C-24FA-AF41-85E4-AD6BD4211C17}">
  <sheetPr>
    <pageSetUpPr fitToPage="1"/>
  </sheetPr>
  <dimension ref="A1:F138"/>
  <sheetViews>
    <sheetView tabSelected="1" topLeftCell="A56" zoomScale="110" zoomScaleNormal="110" workbookViewId="0">
      <selection activeCell="C93" sqref="A1:XFD1048576"/>
    </sheetView>
  </sheetViews>
  <sheetFormatPr baseColWidth="10" defaultRowHeight="13" x14ac:dyDescent="0.15"/>
  <cols>
    <col min="1" max="1" width="8.5" style="2" customWidth="1"/>
    <col min="2" max="2" width="19.33203125" style="2" customWidth="1"/>
    <col min="3" max="3" width="19" style="2" customWidth="1"/>
    <col min="4" max="4" width="29" style="2" customWidth="1"/>
    <col min="5" max="5" width="11" style="2" bestFit="1" customWidth="1"/>
    <col min="6" max="6" width="10.6640625" style="2" bestFit="1" customWidth="1"/>
    <col min="7" max="16384" width="10.83203125" style="2"/>
  </cols>
  <sheetData>
    <row r="1" spans="1:6" x14ac:dyDescent="0.15">
      <c r="A1" s="1" t="s">
        <v>0</v>
      </c>
      <c r="B1" s="1"/>
      <c r="C1" s="1"/>
      <c r="D1" s="1"/>
      <c r="E1" s="1"/>
      <c r="F1" s="1"/>
    </row>
    <row r="2" spans="1:6" ht="14" thickBot="1" x14ac:dyDescent="0.2">
      <c r="A2" s="3" t="s">
        <v>149</v>
      </c>
    </row>
    <row r="3" spans="1:6" x14ac:dyDescent="0.15">
      <c r="A3" s="4" t="s">
        <v>116</v>
      </c>
      <c r="B3" s="5" t="b">
        <v>0</v>
      </c>
      <c r="C3" s="5" t="s">
        <v>1</v>
      </c>
      <c r="D3" s="6"/>
    </row>
    <row r="4" spans="1:6" x14ac:dyDescent="0.15">
      <c r="A4" s="7" t="s">
        <v>115</v>
      </c>
      <c r="B4" s="8" t="b">
        <v>1</v>
      </c>
      <c r="C4" s="8" t="s">
        <v>2</v>
      </c>
      <c r="D4" s="9"/>
    </row>
    <row r="5" spans="1:6" x14ac:dyDescent="0.15">
      <c r="A5" s="7" t="s">
        <v>114</v>
      </c>
      <c r="B5" s="8" t="b">
        <v>0</v>
      </c>
      <c r="C5" s="8" t="s">
        <v>3</v>
      </c>
      <c r="D5" s="9"/>
    </row>
    <row r="6" spans="1:6" x14ac:dyDescent="0.15">
      <c r="A6" s="7"/>
      <c r="B6" s="8"/>
      <c r="C6" s="8" t="s">
        <v>4</v>
      </c>
      <c r="D6" s="9"/>
    </row>
    <row r="7" spans="1:6" ht="14" thickBot="1" x14ac:dyDescent="0.2">
      <c r="A7" s="10"/>
      <c r="B7" s="11"/>
      <c r="C7" s="11" t="s">
        <v>5</v>
      </c>
      <c r="D7" s="12"/>
    </row>
    <row r="8" spans="1:6" x14ac:dyDescent="0.15">
      <c r="A8" s="3" t="s">
        <v>117</v>
      </c>
    </row>
    <row r="9" spans="1:6" x14ac:dyDescent="0.15">
      <c r="A9" s="13" t="s">
        <v>6</v>
      </c>
      <c r="B9" s="14" t="s">
        <v>7</v>
      </c>
      <c r="C9" s="14" t="s">
        <v>8</v>
      </c>
      <c r="D9" s="14" t="s">
        <v>9</v>
      </c>
      <c r="E9" s="14" t="s">
        <v>7</v>
      </c>
      <c r="F9" s="14" t="s">
        <v>8</v>
      </c>
    </row>
    <row r="10" spans="1:6" x14ac:dyDescent="0.15">
      <c r="A10" s="13" t="s">
        <v>118</v>
      </c>
      <c r="B10" s="13" t="s">
        <v>10</v>
      </c>
      <c r="C10" s="15" t="s">
        <v>11</v>
      </c>
      <c r="D10" s="16"/>
      <c r="E10" s="17">
        <f>4000*1.077</f>
        <v>4308</v>
      </c>
      <c r="F10" s="17">
        <f>4000*1.077</f>
        <v>4308</v>
      </c>
    </row>
    <row r="11" spans="1:6" ht="14" thickBot="1" x14ac:dyDescent="0.2">
      <c r="A11" s="18" t="s">
        <v>119</v>
      </c>
      <c r="B11" s="18" t="s">
        <v>12</v>
      </c>
      <c r="C11" s="19" t="s">
        <v>13</v>
      </c>
      <c r="D11" s="20" t="s">
        <v>14</v>
      </c>
      <c r="E11" s="21">
        <f>45000*0.05+10000*0.1</f>
        <v>3250</v>
      </c>
      <c r="F11" s="21">
        <f>45000*0.05+10000*0.1</f>
        <v>3250</v>
      </c>
    </row>
    <row r="12" spans="1:6" x14ac:dyDescent="0.15">
      <c r="A12" s="22" t="s">
        <v>120</v>
      </c>
      <c r="B12" s="23" t="s">
        <v>11</v>
      </c>
      <c r="C12" s="24" t="s">
        <v>15</v>
      </c>
      <c r="D12" s="25"/>
      <c r="E12" s="26">
        <f>SUM(F13:F14)</f>
        <v>12300</v>
      </c>
      <c r="F12" s="27"/>
    </row>
    <row r="13" spans="1:6" x14ac:dyDescent="0.15">
      <c r="A13" s="28" t="s">
        <v>120</v>
      </c>
      <c r="B13" s="13" t="s">
        <v>15</v>
      </c>
      <c r="C13" s="15" t="s">
        <v>16</v>
      </c>
      <c r="D13" s="16"/>
      <c r="E13" s="17"/>
      <c r="F13" s="29">
        <v>12000</v>
      </c>
    </row>
    <row r="14" spans="1:6" ht="14" thickBot="1" x14ac:dyDescent="0.2">
      <c r="A14" s="30" t="s">
        <v>120</v>
      </c>
      <c r="B14" s="31" t="s">
        <v>15</v>
      </c>
      <c r="C14" s="32" t="s">
        <v>17</v>
      </c>
      <c r="D14" s="33"/>
      <c r="E14" s="34"/>
      <c r="F14" s="35">
        <f>F13*0.025</f>
        <v>300</v>
      </c>
    </row>
    <row r="15" spans="1:6" x14ac:dyDescent="0.15">
      <c r="A15" s="22" t="s">
        <v>121</v>
      </c>
      <c r="B15" s="23" t="s">
        <v>15</v>
      </c>
      <c r="C15" s="24" t="s">
        <v>11</v>
      </c>
      <c r="D15" s="25"/>
      <c r="E15" s="26" t="s">
        <v>15</v>
      </c>
      <c r="F15" s="27">
        <v>56000</v>
      </c>
    </row>
    <row r="16" spans="1:6" x14ac:dyDescent="0.15">
      <c r="A16" s="28" t="s">
        <v>121</v>
      </c>
      <c r="B16" s="13" t="s">
        <v>18</v>
      </c>
      <c r="C16" s="15" t="s">
        <v>15</v>
      </c>
      <c r="D16" s="36" t="s">
        <v>19</v>
      </c>
      <c r="E16" s="17">
        <v>12000</v>
      </c>
      <c r="F16" s="29" t="s">
        <v>15</v>
      </c>
    </row>
    <row r="17" spans="1:6" x14ac:dyDescent="0.15">
      <c r="A17" s="28" t="s">
        <v>121</v>
      </c>
      <c r="B17" s="13" t="s">
        <v>12</v>
      </c>
      <c r="C17" s="15" t="s">
        <v>15</v>
      </c>
      <c r="D17" s="16"/>
      <c r="E17" s="17">
        <f>MROUND((56000-12000)/1.077,0.05)</f>
        <v>40854.200000000004</v>
      </c>
      <c r="F17" s="29" t="s">
        <v>15</v>
      </c>
    </row>
    <row r="18" spans="1:6" ht="14" thickBot="1" x14ac:dyDescent="0.2">
      <c r="A18" s="30" t="s">
        <v>121</v>
      </c>
      <c r="B18" s="31" t="s">
        <v>17</v>
      </c>
      <c r="C18" s="32" t="s">
        <v>15</v>
      </c>
      <c r="D18" s="33"/>
      <c r="E18" s="34">
        <f>MROUND(E17*7.7/100,0.05)+0.05</f>
        <v>3145.8</v>
      </c>
      <c r="F18" s="35" t="s">
        <v>15</v>
      </c>
    </row>
    <row r="19" spans="1:6" x14ac:dyDescent="0.15">
      <c r="A19" s="22" t="s">
        <v>122</v>
      </c>
      <c r="B19" s="23" t="s">
        <v>11</v>
      </c>
      <c r="C19" s="24" t="s">
        <v>20</v>
      </c>
      <c r="D19" s="37" t="s">
        <v>22</v>
      </c>
      <c r="E19" s="26">
        <f>MROUND(34000*1.077*81*5/36000+2000*60*5/36000,0.05)</f>
        <v>428.6</v>
      </c>
      <c r="F19" s="27">
        <f>MROUND(34000*1.077*81*5/36000+2000*60*5/36000,0.05)</f>
        <v>428.6</v>
      </c>
    </row>
    <row r="20" spans="1:6" ht="14" thickBot="1" x14ac:dyDescent="0.2">
      <c r="A20" s="30" t="s">
        <v>122</v>
      </c>
      <c r="B20" s="31"/>
      <c r="C20" s="32"/>
      <c r="D20" s="33" t="s">
        <v>21</v>
      </c>
      <c r="E20" s="34"/>
      <c r="F20" s="35"/>
    </row>
    <row r="21" spans="1:6" x14ac:dyDescent="0.15">
      <c r="A21" s="38" t="s">
        <v>123</v>
      </c>
      <c r="B21" s="38" t="s">
        <v>10</v>
      </c>
      <c r="C21" s="39" t="s">
        <v>11</v>
      </c>
      <c r="D21" s="40"/>
      <c r="E21" s="41">
        <f>90000+1000+3000</f>
        <v>94000</v>
      </c>
      <c r="F21" s="41">
        <f>90000+1000+3000</f>
        <v>94000</v>
      </c>
    </row>
    <row r="22" spans="1:6" x14ac:dyDescent="0.15">
      <c r="A22" s="13" t="s">
        <v>124</v>
      </c>
      <c r="B22" s="13" t="s">
        <v>13</v>
      </c>
      <c r="C22" s="15" t="s">
        <v>23</v>
      </c>
      <c r="D22" s="16"/>
      <c r="E22" s="17">
        <v>5000</v>
      </c>
      <c r="F22" s="17">
        <v>5000</v>
      </c>
    </row>
    <row r="23" spans="1:6" x14ac:dyDescent="0.15">
      <c r="A23" s="13" t="s">
        <v>125</v>
      </c>
      <c r="B23" s="13" t="s">
        <v>13</v>
      </c>
      <c r="C23" s="15" t="s">
        <v>23</v>
      </c>
      <c r="D23" s="16"/>
      <c r="E23" s="17">
        <f>45300/2</f>
        <v>22650</v>
      </c>
      <c r="F23" s="17">
        <f>45300/2</f>
        <v>22650</v>
      </c>
    </row>
    <row r="24" spans="1:6" ht="14" thickBot="1" x14ac:dyDescent="0.2">
      <c r="A24" s="18" t="s">
        <v>126</v>
      </c>
      <c r="B24" s="18" t="s">
        <v>12</v>
      </c>
      <c r="C24" s="19" t="s">
        <v>13</v>
      </c>
      <c r="D24" s="42" t="s">
        <v>24</v>
      </c>
      <c r="E24" s="43">
        <f>MROUND(230000*1.077*0.05,0.05)</f>
        <v>12385.5</v>
      </c>
      <c r="F24" s="43">
        <f>MROUND(230000*1.077*0.05,0.05)</f>
        <v>12385.5</v>
      </c>
    </row>
    <row r="25" spans="1:6" x14ac:dyDescent="0.15">
      <c r="A25" s="22" t="s">
        <v>127</v>
      </c>
      <c r="B25" s="23" t="s">
        <v>25</v>
      </c>
      <c r="C25" s="24" t="s">
        <v>15</v>
      </c>
      <c r="D25" s="25"/>
      <c r="E25" s="26">
        <v>8000</v>
      </c>
      <c r="F25" s="27" t="s">
        <v>15</v>
      </c>
    </row>
    <row r="26" spans="1:6" x14ac:dyDescent="0.15">
      <c r="A26" s="28"/>
      <c r="B26" s="13" t="s">
        <v>15</v>
      </c>
      <c r="C26" s="15" t="s">
        <v>26</v>
      </c>
      <c r="D26" s="16"/>
      <c r="E26" s="17" t="s">
        <v>15</v>
      </c>
      <c r="F26" s="29">
        <f>E25-F27</f>
        <v>7463.8</v>
      </c>
    </row>
    <row r="27" spans="1:6" ht="14" thickBot="1" x14ac:dyDescent="0.2">
      <c r="A27" s="30"/>
      <c r="B27" s="31" t="s">
        <v>15</v>
      </c>
      <c r="C27" s="32" t="s">
        <v>17</v>
      </c>
      <c r="D27" s="44" t="s">
        <v>27</v>
      </c>
      <c r="E27" s="34"/>
      <c r="F27" s="35">
        <f>MROUND(7500/1.077*0.077,0.05)</f>
        <v>536.20000000000005</v>
      </c>
    </row>
    <row r="29" spans="1:6" ht="14" thickBot="1" x14ac:dyDescent="0.2">
      <c r="A29" s="3" t="s">
        <v>128</v>
      </c>
    </row>
    <row r="30" spans="1:6" x14ac:dyDescent="0.15">
      <c r="A30" s="45" t="s">
        <v>118</v>
      </c>
      <c r="B30" s="46" t="b">
        <v>0</v>
      </c>
      <c r="C30" s="46" t="s">
        <v>28</v>
      </c>
      <c r="D30" s="47"/>
    </row>
    <row r="31" spans="1:6" x14ac:dyDescent="0.15">
      <c r="A31" s="7" t="s">
        <v>119</v>
      </c>
      <c r="B31" s="8" t="b">
        <v>0</v>
      </c>
      <c r="C31" s="8" t="s">
        <v>28</v>
      </c>
      <c r="D31" s="9"/>
    </row>
    <row r="32" spans="1:6" ht="14" thickBot="1" x14ac:dyDescent="0.2">
      <c r="A32" s="10" t="s">
        <v>120</v>
      </c>
      <c r="B32" s="11" t="b">
        <v>0</v>
      </c>
      <c r="C32" s="11" t="s">
        <v>29</v>
      </c>
      <c r="D32" s="12"/>
    </row>
    <row r="33" spans="1:6" ht="14" thickBot="1" x14ac:dyDescent="0.2"/>
    <row r="34" spans="1:6" x14ac:dyDescent="0.15">
      <c r="A34" s="45" t="s">
        <v>35</v>
      </c>
      <c r="B34" s="48">
        <v>40000</v>
      </c>
      <c r="C34" s="49" t="s">
        <v>129</v>
      </c>
      <c r="D34" s="47" t="s">
        <v>130</v>
      </c>
    </row>
    <row r="35" spans="1:6" x14ac:dyDescent="0.15">
      <c r="A35" s="7"/>
      <c r="B35" s="50">
        <v>10000</v>
      </c>
      <c r="C35" s="51" t="s">
        <v>31</v>
      </c>
      <c r="D35" s="9" t="s">
        <v>131</v>
      </c>
    </row>
    <row r="36" spans="1:6" x14ac:dyDescent="0.15">
      <c r="A36" s="7"/>
      <c r="B36" s="50">
        <v>30000</v>
      </c>
      <c r="C36" s="51" t="s">
        <v>32</v>
      </c>
      <c r="D36" s="9" t="s">
        <v>132</v>
      </c>
    </row>
    <row r="37" spans="1:6" x14ac:dyDescent="0.15">
      <c r="A37" s="7"/>
      <c r="B37" s="50">
        <v>-20000</v>
      </c>
      <c r="C37" s="51" t="s">
        <v>33</v>
      </c>
      <c r="D37" s="9" t="s">
        <v>133</v>
      </c>
    </row>
    <row r="38" spans="1:6" ht="14" thickBot="1" x14ac:dyDescent="0.2">
      <c r="A38" s="10"/>
      <c r="B38" s="52">
        <f>B36+B37</f>
        <v>10000</v>
      </c>
      <c r="C38" s="53" t="s">
        <v>34</v>
      </c>
      <c r="D38" s="12" t="s">
        <v>135</v>
      </c>
    </row>
    <row r="39" spans="1:6" ht="14" thickBot="1" x14ac:dyDescent="0.2">
      <c r="B39" s="54"/>
    </row>
    <row r="40" spans="1:6" x14ac:dyDescent="0.15">
      <c r="A40" s="45" t="s">
        <v>36</v>
      </c>
      <c r="B40" s="48">
        <v>180000</v>
      </c>
      <c r="C40" s="46" t="s">
        <v>30</v>
      </c>
      <c r="D40" s="46" t="s">
        <v>134</v>
      </c>
      <c r="E40" s="47"/>
    </row>
    <row r="41" spans="1:6" x14ac:dyDescent="0.15">
      <c r="A41" s="7"/>
      <c r="B41" s="50">
        <v>150000</v>
      </c>
      <c r="C41" s="8" t="s">
        <v>34</v>
      </c>
      <c r="D41" s="8" t="s">
        <v>136</v>
      </c>
      <c r="E41" s="9"/>
    </row>
    <row r="42" spans="1:6" x14ac:dyDescent="0.15">
      <c r="A42" s="7"/>
      <c r="B42" s="50">
        <v>30000</v>
      </c>
      <c r="C42" s="8" t="s">
        <v>37</v>
      </c>
      <c r="D42" s="55" t="s">
        <v>137</v>
      </c>
      <c r="E42" s="9"/>
    </row>
    <row r="43" spans="1:6" ht="14" thickBot="1" x14ac:dyDescent="0.2">
      <c r="A43" s="10"/>
      <c r="B43" s="52">
        <v>180000</v>
      </c>
      <c r="C43" s="11" t="s">
        <v>32</v>
      </c>
      <c r="D43" s="11" t="s">
        <v>138</v>
      </c>
      <c r="E43" s="12"/>
    </row>
    <row r="44" spans="1:6" ht="14" thickBot="1" x14ac:dyDescent="0.2">
      <c r="B44" s="54"/>
    </row>
    <row r="45" spans="1:6" ht="14" thickBot="1" x14ac:dyDescent="0.2">
      <c r="A45" s="45" t="s">
        <v>38</v>
      </c>
      <c r="B45" s="48">
        <f>70000+4000-10000</f>
        <v>64000</v>
      </c>
      <c r="C45" s="46" t="s">
        <v>34</v>
      </c>
      <c r="D45" s="46" t="s">
        <v>139</v>
      </c>
      <c r="E45" s="56" t="s">
        <v>32</v>
      </c>
      <c r="F45" s="56" t="s">
        <v>30</v>
      </c>
    </row>
    <row r="46" spans="1:6" ht="14" thickBot="1" x14ac:dyDescent="0.2">
      <c r="A46" s="7"/>
      <c r="B46" s="50">
        <f>340000-40000</f>
        <v>300000</v>
      </c>
      <c r="C46" s="8" t="s">
        <v>30</v>
      </c>
      <c r="D46" s="55" t="s">
        <v>140</v>
      </c>
      <c r="E46" s="57" t="s">
        <v>41</v>
      </c>
      <c r="F46" s="9"/>
    </row>
    <row r="47" spans="1:6" ht="14" thickBot="1" x14ac:dyDescent="0.2">
      <c r="A47" s="7"/>
      <c r="B47" s="50">
        <v>20000</v>
      </c>
      <c r="C47" s="8" t="s">
        <v>39</v>
      </c>
      <c r="D47" s="55" t="s">
        <v>141</v>
      </c>
      <c r="E47" s="58" t="s">
        <v>43</v>
      </c>
      <c r="F47" s="59" t="s">
        <v>41</v>
      </c>
    </row>
    <row r="48" spans="1:6" x14ac:dyDescent="0.15">
      <c r="A48" s="7"/>
      <c r="B48" s="50">
        <v>180000</v>
      </c>
      <c r="C48" s="8" t="s">
        <v>40</v>
      </c>
      <c r="D48" s="8"/>
      <c r="E48" s="58" t="s">
        <v>44</v>
      </c>
      <c r="F48" s="58" t="s">
        <v>42</v>
      </c>
    </row>
    <row r="49" spans="1:6" ht="42" x14ac:dyDescent="0.15">
      <c r="A49" s="7"/>
      <c r="B49" s="50">
        <f>200000</f>
        <v>200000</v>
      </c>
      <c r="C49" s="8" t="s">
        <v>41</v>
      </c>
      <c r="D49" s="60" t="s">
        <v>148</v>
      </c>
      <c r="E49" s="58"/>
      <c r="F49" s="58"/>
    </row>
    <row r="50" spans="1:6" x14ac:dyDescent="0.15">
      <c r="A50" s="7"/>
      <c r="B50" s="50">
        <v>100000</v>
      </c>
      <c r="C50" s="8" t="s">
        <v>32</v>
      </c>
      <c r="D50" s="55" t="s">
        <v>142</v>
      </c>
      <c r="E50" s="58"/>
      <c r="F50" s="58"/>
    </row>
    <row r="51" spans="1:6" ht="14" thickBot="1" x14ac:dyDescent="0.2">
      <c r="A51" s="10"/>
      <c r="B51" s="52">
        <v>36000</v>
      </c>
      <c r="C51" s="11" t="s">
        <v>45</v>
      </c>
      <c r="D51" s="11" t="s">
        <v>143</v>
      </c>
      <c r="E51" s="61"/>
      <c r="F51" s="61"/>
    </row>
    <row r="53" spans="1:6" ht="14" thickBot="1" x14ac:dyDescent="0.2">
      <c r="A53" s="3" t="s">
        <v>144</v>
      </c>
    </row>
    <row r="54" spans="1:6" x14ac:dyDescent="0.15">
      <c r="A54" s="45" t="s">
        <v>118</v>
      </c>
      <c r="B54" s="46" t="b">
        <v>1</v>
      </c>
      <c r="C54" s="46"/>
      <c r="D54" s="47"/>
    </row>
    <row r="55" spans="1:6" x14ac:dyDescent="0.15">
      <c r="A55" s="7" t="s">
        <v>119</v>
      </c>
      <c r="B55" s="8" t="b">
        <v>1</v>
      </c>
      <c r="C55" s="8" t="s">
        <v>46</v>
      </c>
      <c r="D55" s="9"/>
    </row>
    <row r="56" spans="1:6" ht="14" thickBot="1" x14ac:dyDescent="0.2">
      <c r="A56" s="10" t="s">
        <v>120</v>
      </c>
      <c r="B56" s="11" t="b">
        <v>1</v>
      </c>
      <c r="C56" s="11" t="s">
        <v>47</v>
      </c>
      <c r="D56" s="12"/>
    </row>
    <row r="58" spans="1:6" x14ac:dyDescent="0.15">
      <c r="A58" s="13" t="s">
        <v>6</v>
      </c>
      <c r="B58" s="16" t="s">
        <v>7</v>
      </c>
      <c r="C58" s="16" t="s">
        <v>8</v>
      </c>
      <c r="D58" s="16" t="s">
        <v>9</v>
      </c>
      <c r="E58" s="16" t="s">
        <v>7</v>
      </c>
      <c r="F58" s="16" t="s">
        <v>8</v>
      </c>
    </row>
    <row r="59" spans="1:6" x14ac:dyDescent="0.15">
      <c r="A59" s="13" t="s">
        <v>118</v>
      </c>
      <c r="B59" s="13" t="s">
        <v>48</v>
      </c>
      <c r="C59" s="15" t="s">
        <v>15</v>
      </c>
      <c r="D59" s="16"/>
      <c r="E59" s="15">
        <v>3000</v>
      </c>
      <c r="F59" s="15" t="s">
        <v>15</v>
      </c>
    </row>
    <row r="60" spans="1:6" x14ac:dyDescent="0.15">
      <c r="A60" s="13" t="s">
        <v>118</v>
      </c>
      <c r="B60" s="13" t="s">
        <v>15</v>
      </c>
      <c r="C60" s="15" t="s">
        <v>49</v>
      </c>
      <c r="D60" s="16"/>
      <c r="E60" s="15" t="s">
        <v>15</v>
      </c>
      <c r="F60" s="15">
        <f>MROUND(3000/1.077,0.05)</f>
        <v>2785.5</v>
      </c>
    </row>
    <row r="61" spans="1:6" x14ac:dyDescent="0.15">
      <c r="A61" s="13" t="s">
        <v>118</v>
      </c>
      <c r="B61" s="13" t="s">
        <v>15</v>
      </c>
      <c r="C61" s="15" t="s">
        <v>17</v>
      </c>
      <c r="D61" s="16"/>
      <c r="E61" s="15" t="s">
        <v>15</v>
      </c>
      <c r="F61" s="15">
        <f>MROUND(F60*0.077,0.05)</f>
        <v>214.5</v>
      </c>
    </row>
    <row r="62" spans="1:6" x14ac:dyDescent="0.15">
      <c r="A62" s="13" t="s">
        <v>119</v>
      </c>
      <c r="B62" s="13" t="s">
        <v>50</v>
      </c>
      <c r="C62" s="15" t="s">
        <v>15</v>
      </c>
      <c r="D62" s="16"/>
      <c r="E62" s="15">
        <v>12000</v>
      </c>
      <c r="F62" s="15" t="s">
        <v>15</v>
      </c>
    </row>
    <row r="63" spans="1:6" x14ac:dyDescent="0.15">
      <c r="A63" s="13" t="s">
        <v>119</v>
      </c>
      <c r="B63" s="13" t="s">
        <v>51</v>
      </c>
      <c r="C63" s="15" t="s">
        <v>15</v>
      </c>
      <c r="D63" s="16"/>
      <c r="E63" s="15">
        <f>E62*0.077</f>
        <v>924</v>
      </c>
      <c r="F63" s="15" t="s">
        <v>15</v>
      </c>
    </row>
    <row r="64" spans="1:6" x14ac:dyDescent="0.15">
      <c r="A64" s="13" t="s">
        <v>119</v>
      </c>
      <c r="B64" s="13" t="s">
        <v>15</v>
      </c>
      <c r="C64" s="15" t="s">
        <v>52</v>
      </c>
      <c r="D64" s="16"/>
      <c r="E64" s="15" t="s">
        <v>15</v>
      </c>
      <c r="F64" s="15">
        <f>E62*0.2</f>
        <v>2400</v>
      </c>
    </row>
    <row r="65" spans="1:6" x14ac:dyDescent="0.15">
      <c r="A65" s="13" t="s">
        <v>119</v>
      </c>
      <c r="B65" s="13" t="s">
        <v>15</v>
      </c>
      <c r="C65" s="15" t="s">
        <v>51</v>
      </c>
      <c r="D65" s="16"/>
      <c r="E65" s="15" t="s">
        <v>15</v>
      </c>
      <c r="F65" s="15">
        <f>E63*0.2</f>
        <v>184.8</v>
      </c>
    </row>
    <row r="66" spans="1:6" x14ac:dyDescent="0.15">
      <c r="A66" s="13" t="s">
        <v>119</v>
      </c>
      <c r="B66" s="13" t="s">
        <v>15</v>
      </c>
      <c r="C66" s="15" t="s">
        <v>53</v>
      </c>
      <c r="D66" s="16"/>
      <c r="E66" s="15" t="s">
        <v>15</v>
      </c>
      <c r="F66" s="15">
        <f>E62+E63-F64-F65</f>
        <v>10339.200000000001</v>
      </c>
    </row>
    <row r="67" spans="1:6" x14ac:dyDescent="0.15">
      <c r="A67" s="13" t="s">
        <v>120</v>
      </c>
      <c r="B67" s="13" t="s">
        <v>54</v>
      </c>
      <c r="C67" s="15" t="s">
        <v>55</v>
      </c>
      <c r="D67" s="36" t="s">
        <v>56</v>
      </c>
      <c r="E67" s="15">
        <v>3444.45</v>
      </c>
      <c r="F67" s="15">
        <v>3444.45</v>
      </c>
    </row>
    <row r="68" spans="1:6" x14ac:dyDescent="0.15">
      <c r="A68" s="13" t="s">
        <v>120</v>
      </c>
      <c r="B68" s="13" t="s">
        <v>57</v>
      </c>
      <c r="C68" s="15" t="s">
        <v>15</v>
      </c>
      <c r="D68" s="36" t="s">
        <v>58</v>
      </c>
      <c r="E68" s="62">
        <v>11844.45</v>
      </c>
      <c r="F68" s="62" t="s">
        <v>15</v>
      </c>
    </row>
    <row r="69" spans="1:6" x14ac:dyDescent="0.15">
      <c r="A69" s="13" t="s">
        <v>120</v>
      </c>
      <c r="B69" s="13" t="s">
        <v>15</v>
      </c>
      <c r="C69" s="15" t="s">
        <v>59</v>
      </c>
      <c r="D69" s="16"/>
      <c r="E69" s="15" t="s">
        <v>15</v>
      </c>
      <c r="F69" s="15">
        <v>40000</v>
      </c>
    </row>
    <row r="70" spans="1:6" x14ac:dyDescent="0.15">
      <c r="A70" s="13" t="s">
        <v>120</v>
      </c>
      <c r="B70" s="13" t="s">
        <v>60</v>
      </c>
      <c r="C70" s="15" t="s">
        <v>15</v>
      </c>
      <c r="D70" s="16"/>
      <c r="E70" s="15">
        <v>22000</v>
      </c>
      <c r="F70" s="15" t="s">
        <v>15</v>
      </c>
    </row>
    <row r="71" spans="1:6" x14ac:dyDescent="0.15">
      <c r="A71" s="13" t="s">
        <v>120</v>
      </c>
      <c r="B71" s="13" t="s">
        <v>15</v>
      </c>
      <c r="C71" s="15" t="s">
        <v>61</v>
      </c>
      <c r="D71" s="16"/>
      <c r="E71" s="15" t="s">
        <v>15</v>
      </c>
      <c r="F71" s="15">
        <v>1572.9</v>
      </c>
    </row>
    <row r="72" spans="1:6" x14ac:dyDescent="0.15">
      <c r="A72" s="13" t="s">
        <v>120</v>
      </c>
      <c r="B72" s="13" t="s">
        <v>62</v>
      </c>
      <c r="C72" s="15" t="s">
        <v>15</v>
      </c>
      <c r="D72" s="16"/>
      <c r="E72" s="62">
        <f>SUM(F69:F71)-SUM(E68:E71)</f>
        <v>7728.4500000000044</v>
      </c>
      <c r="F72" s="15" t="s">
        <v>15</v>
      </c>
    </row>
    <row r="73" spans="1:6" x14ac:dyDescent="0.15">
      <c r="A73" s="13" t="s">
        <v>121</v>
      </c>
      <c r="B73" s="13" t="s">
        <v>63</v>
      </c>
      <c r="C73" s="15" t="s">
        <v>15</v>
      </c>
      <c r="D73" s="36" t="s">
        <v>66</v>
      </c>
      <c r="E73" s="15">
        <f>5000*3/4*1.077</f>
        <v>4038.75</v>
      </c>
      <c r="F73" s="15" t="s">
        <v>15</v>
      </c>
    </row>
    <row r="74" spans="1:6" x14ac:dyDescent="0.15">
      <c r="A74" s="13" t="s">
        <v>121</v>
      </c>
      <c r="B74" s="13" t="s">
        <v>64</v>
      </c>
      <c r="C74" s="15" t="s">
        <v>15</v>
      </c>
      <c r="D74" s="36" t="s">
        <v>67</v>
      </c>
      <c r="E74" s="15">
        <v>1250</v>
      </c>
      <c r="F74" s="15" t="s">
        <v>15</v>
      </c>
    </row>
    <row r="75" spans="1:6" x14ac:dyDescent="0.15">
      <c r="A75" s="13" t="s">
        <v>121</v>
      </c>
      <c r="B75" s="13" t="s">
        <v>65</v>
      </c>
      <c r="C75" s="15" t="s">
        <v>15</v>
      </c>
      <c r="D75" s="16" t="s">
        <v>68</v>
      </c>
      <c r="E75" s="15">
        <v>96.25</v>
      </c>
      <c r="F75" s="15" t="s">
        <v>15</v>
      </c>
    </row>
    <row r="76" spans="1:6" x14ac:dyDescent="0.15">
      <c r="A76" s="13" t="s">
        <v>121</v>
      </c>
      <c r="B76" s="13" t="s">
        <v>15</v>
      </c>
      <c r="C76" s="15" t="s">
        <v>69</v>
      </c>
      <c r="D76" s="16"/>
      <c r="E76" s="15" t="s">
        <v>15</v>
      </c>
      <c r="F76" s="15">
        <f>SUM(E73:E75)</f>
        <v>5385</v>
      </c>
    </row>
    <row r="77" spans="1:6" x14ac:dyDescent="0.15">
      <c r="A77" s="13" t="s">
        <v>122</v>
      </c>
      <c r="B77" s="13" t="s">
        <v>69</v>
      </c>
      <c r="C77" s="15" t="s">
        <v>15</v>
      </c>
      <c r="D77" s="36" t="s">
        <v>70</v>
      </c>
      <c r="E77" s="15">
        <v>8077.5</v>
      </c>
      <c r="F77" s="15" t="s">
        <v>15</v>
      </c>
    </row>
    <row r="78" spans="1:6" x14ac:dyDescent="0.15">
      <c r="A78" s="13" t="s">
        <v>122</v>
      </c>
      <c r="B78" s="13" t="s">
        <v>15</v>
      </c>
      <c r="C78" s="15" t="s">
        <v>72</v>
      </c>
      <c r="D78" s="16" t="s">
        <v>71</v>
      </c>
      <c r="E78" s="15" t="s">
        <v>15</v>
      </c>
      <c r="F78" s="15">
        <f>10000*0.05</f>
        <v>500</v>
      </c>
    </row>
    <row r="79" spans="1:6" x14ac:dyDescent="0.15">
      <c r="A79" s="13" t="s">
        <v>122</v>
      </c>
      <c r="B79" s="13" t="s">
        <v>15</v>
      </c>
      <c r="C79" s="15" t="s">
        <v>73</v>
      </c>
      <c r="D79" s="16" t="s">
        <v>74</v>
      </c>
      <c r="E79" s="15" t="s">
        <v>15</v>
      </c>
      <c r="F79" s="15">
        <v>38.5</v>
      </c>
    </row>
    <row r="80" spans="1:6" x14ac:dyDescent="0.15">
      <c r="A80" s="13" t="s">
        <v>122</v>
      </c>
      <c r="B80" s="13" t="s">
        <v>15</v>
      </c>
      <c r="C80" s="15" t="s">
        <v>48</v>
      </c>
      <c r="D80" s="16" t="s">
        <v>75</v>
      </c>
      <c r="E80" s="15" t="s">
        <v>15</v>
      </c>
      <c r="F80" s="15">
        <v>7539</v>
      </c>
    </row>
    <row r="81" spans="1:6" x14ac:dyDescent="0.15">
      <c r="A81" s="13" t="s">
        <v>123</v>
      </c>
      <c r="B81" s="13" t="s">
        <v>69</v>
      </c>
      <c r="C81" s="15" t="s">
        <v>18</v>
      </c>
      <c r="D81" s="16"/>
      <c r="E81" s="15">
        <v>650</v>
      </c>
      <c r="F81" s="15">
        <v>650</v>
      </c>
    </row>
    <row r="82" spans="1:6" x14ac:dyDescent="0.15">
      <c r="A82" s="13" t="s">
        <v>124</v>
      </c>
      <c r="B82" s="13" t="s">
        <v>25</v>
      </c>
      <c r="C82" s="15" t="s">
        <v>15</v>
      </c>
      <c r="D82" s="16" t="s">
        <v>77</v>
      </c>
      <c r="E82" s="15">
        <f>3000*1.077</f>
        <v>3231</v>
      </c>
      <c r="F82" s="15" t="s">
        <v>15</v>
      </c>
    </row>
    <row r="83" spans="1:6" x14ac:dyDescent="0.15">
      <c r="A83" s="13" t="s">
        <v>124</v>
      </c>
      <c r="B83" s="13" t="s">
        <v>15</v>
      </c>
      <c r="C83" s="15" t="s">
        <v>76</v>
      </c>
      <c r="D83" s="16"/>
      <c r="E83" s="15" t="s">
        <v>15</v>
      </c>
      <c r="F83" s="15">
        <v>1</v>
      </c>
    </row>
    <row r="84" spans="1:6" x14ac:dyDescent="0.15">
      <c r="A84" s="13" t="s">
        <v>124</v>
      </c>
      <c r="B84" s="13" t="s">
        <v>15</v>
      </c>
      <c r="C84" s="15" t="s">
        <v>17</v>
      </c>
      <c r="D84" s="16"/>
      <c r="E84" s="15" t="s">
        <v>15</v>
      </c>
      <c r="F84" s="15">
        <v>231</v>
      </c>
    </row>
    <row r="85" spans="1:6" x14ac:dyDescent="0.15">
      <c r="A85" s="13" t="s">
        <v>124</v>
      </c>
      <c r="B85" s="13" t="s">
        <v>15</v>
      </c>
      <c r="C85" s="15" t="s">
        <v>26</v>
      </c>
      <c r="D85" s="16"/>
      <c r="E85" s="15" t="s">
        <v>15</v>
      </c>
      <c r="F85" s="15">
        <v>2999</v>
      </c>
    </row>
    <row r="86" spans="1:6" x14ac:dyDescent="0.15">
      <c r="A86" s="13" t="s">
        <v>125</v>
      </c>
      <c r="B86" s="13" t="s">
        <v>15</v>
      </c>
      <c r="C86" s="15" t="s">
        <v>48</v>
      </c>
      <c r="D86" s="16"/>
      <c r="E86" s="15" t="s">
        <v>15</v>
      </c>
      <c r="F86" s="15">
        <v>9000</v>
      </c>
    </row>
    <row r="87" spans="1:6" x14ac:dyDescent="0.15">
      <c r="A87" s="13" t="s">
        <v>125</v>
      </c>
      <c r="B87" s="13" t="s">
        <v>78</v>
      </c>
      <c r="C87" s="15" t="s">
        <v>15</v>
      </c>
      <c r="D87" s="36" t="s">
        <v>80</v>
      </c>
      <c r="E87" s="15">
        <v>4000</v>
      </c>
      <c r="F87" s="15" t="s">
        <v>15</v>
      </c>
    </row>
    <row r="88" spans="1:6" x14ac:dyDescent="0.15">
      <c r="A88" s="13" t="s">
        <v>125</v>
      </c>
      <c r="B88" s="13" t="s">
        <v>79</v>
      </c>
      <c r="C88" s="15" t="s">
        <v>15</v>
      </c>
      <c r="D88" s="16"/>
      <c r="E88" s="15">
        <v>5000</v>
      </c>
      <c r="F88" s="15" t="s">
        <v>15</v>
      </c>
    </row>
    <row r="89" spans="1:6" ht="14" thickBot="1" x14ac:dyDescent="0.2">
      <c r="A89" s="3" t="s">
        <v>145</v>
      </c>
    </row>
    <row r="90" spans="1:6" x14ac:dyDescent="0.15">
      <c r="A90" s="45" t="s">
        <v>118</v>
      </c>
      <c r="B90" s="46" t="b">
        <v>1</v>
      </c>
      <c r="C90" s="46" t="s">
        <v>81</v>
      </c>
      <c r="D90" s="47"/>
    </row>
    <row r="91" spans="1:6" x14ac:dyDescent="0.15">
      <c r="A91" s="7" t="s">
        <v>119</v>
      </c>
      <c r="B91" s="8" t="b">
        <v>0</v>
      </c>
      <c r="C91" s="8" t="s">
        <v>82</v>
      </c>
      <c r="D91" s="9"/>
    </row>
    <row r="92" spans="1:6" x14ac:dyDescent="0.15">
      <c r="A92" s="7" t="s">
        <v>120</v>
      </c>
      <c r="B92" s="8" t="b">
        <v>0</v>
      </c>
      <c r="C92" s="8" t="s">
        <v>83</v>
      </c>
      <c r="D92" s="9"/>
    </row>
    <row r="93" spans="1:6" x14ac:dyDescent="0.15">
      <c r="A93" s="7"/>
      <c r="B93" s="8"/>
      <c r="C93" s="8" t="s">
        <v>84</v>
      </c>
      <c r="D93" s="9"/>
    </row>
    <row r="94" spans="1:6" ht="14" thickBot="1" x14ac:dyDescent="0.2">
      <c r="A94" s="10"/>
      <c r="B94" s="11"/>
      <c r="C94" s="11" t="s">
        <v>85</v>
      </c>
      <c r="D94" s="12"/>
    </row>
    <row r="96" spans="1:6" x14ac:dyDescent="0.15">
      <c r="A96" s="2" t="s">
        <v>86</v>
      </c>
    </row>
    <row r="97" spans="1:5" x14ac:dyDescent="0.15">
      <c r="A97" s="63">
        <v>200</v>
      </c>
      <c r="B97" s="20">
        <f>SUM(E97:E99)</f>
        <v>142000</v>
      </c>
      <c r="C97" s="64" t="s">
        <v>87</v>
      </c>
      <c r="D97" s="65"/>
      <c r="E97" s="2">
        <f>35000*3</f>
        <v>105000</v>
      </c>
    </row>
    <row r="98" spans="1:5" x14ac:dyDescent="0.15">
      <c r="A98" s="66"/>
      <c r="B98" s="67"/>
      <c r="C98" s="68" t="s">
        <v>90</v>
      </c>
      <c r="D98" s="69"/>
      <c r="E98" s="2">
        <v>22000</v>
      </c>
    </row>
    <row r="99" spans="1:5" x14ac:dyDescent="0.15">
      <c r="A99" s="66"/>
      <c r="B99" s="67"/>
      <c r="C99" s="68" t="s">
        <v>91</v>
      </c>
      <c r="D99" s="69"/>
      <c r="E99" s="2">
        <v>15000</v>
      </c>
    </row>
    <row r="100" spans="1:5" x14ac:dyDescent="0.15">
      <c r="A100" s="70"/>
      <c r="B100" s="40"/>
      <c r="C100" s="71"/>
      <c r="D100" s="72"/>
    </row>
    <row r="101" spans="1:5" x14ac:dyDescent="0.15">
      <c r="A101" s="66">
        <v>235</v>
      </c>
      <c r="B101" s="67">
        <f>SUM(E101:E102)</f>
        <v>22500</v>
      </c>
      <c r="C101" s="68" t="s">
        <v>98</v>
      </c>
      <c r="D101" s="69"/>
      <c r="E101" s="2">
        <f>E97*0.1</f>
        <v>10500</v>
      </c>
    </row>
    <row r="102" spans="1:5" x14ac:dyDescent="0.15">
      <c r="A102" s="66"/>
      <c r="B102" s="67"/>
      <c r="C102" s="68" t="s">
        <v>97</v>
      </c>
      <c r="D102" s="69"/>
      <c r="E102" s="2">
        <v>12000</v>
      </c>
    </row>
    <row r="103" spans="1:5" x14ac:dyDescent="0.15">
      <c r="A103" s="66"/>
      <c r="B103" s="67"/>
      <c r="C103" s="68"/>
      <c r="D103" s="69"/>
    </row>
    <row r="104" spans="1:5" x14ac:dyDescent="0.15">
      <c r="A104" s="66">
        <v>289</v>
      </c>
      <c r="B104" s="67">
        <f>B101</f>
        <v>22500</v>
      </c>
      <c r="C104" s="68" t="s">
        <v>99</v>
      </c>
      <c r="D104" s="69"/>
    </row>
    <row r="105" spans="1:5" x14ac:dyDescent="0.15">
      <c r="A105" s="70"/>
      <c r="B105" s="40"/>
      <c r="C105" s="71"/>
      <c r="D105" s="72"/>
    </row>
    <row r="106" spans="1:5" x14ac:dyDescent="0.15">
      <c r="A106" s="63">
        <v>299</v>
      </c>
      <c r="B106" s="20">
        <f>B97-B104</f>
        <v>119500</v>
      </c>
      <c r="C106" s="73" t="s">
        <v>100</v>
      </c>
      <c r="D106" s="65"/>
    </row>
    <row r="107" spans="1:5" x14ac:dyDescent="0.15">
      <c r="A107" s="70"/>
      <c r="B107" s="40"/>
      <c r="C107" s="71"/>
      <c r="D107" s="72"/>
    </row>
    <row r="108" spans="1:5" x14ac:dyDescent="0.15">
      <c r="A108" s="63" t="s">
        <v>88</v>
      </c>
      <c r="B108" s="20">
        <f>SUM(E108:E111)</f>
        <v>131500</v>
      </c>
      <c r="C108" s="64" t="s">
        <v>87</v>
      </c>
      <c r="D108" s="65"/>
      <c r="E108" s="2">
        <f>35000*3</f>
        <v>105000</v>
      </c>
    </row>
    <row r="109" spans="1:5" x14ac:dyDescent="0.15">
      <c r="A109" s="66"/>
      <c r="B109" s="67"/>
      <c r="C109" s="68" t="s">
        <v>90</v>
      </c>
      <c r="D109" s="69"/>
      <c r="E109" s="2">
        <v>22000</v>
      </c>
    </row>
    <row r="110" spans="1:5" x14ac:dyDescent="0.15">
      <c r="A110" s="66"/>
      <c r="B110" s="67"/>
      <c r="C110" s="68" t="s">
        <v>91</v>
      </c>
      <c r="D110" s="69"/>
      <c r="E110" s="2">
        <v>15000</v>
      </c>
    </row>
    <row r="111" spans="1:5" x14ac:dyDescent="0.15">
      <c r="A111" s="66"/>
      <c r="B111" s="67"/>
      <c r="C111" s="74" t="s">
        <v>92</v>
      </c>
      <c r="D111" s="69"/>
      <c r="E111" s="2">
        <f>E101*-1</f>
        <v>-10500</v>
      </c>
    </row>
    <row r="112" spans="1:5" x14ac:dyDescent="0.15">
      <c r="A112" s="70"/>
      <c r="B112" s="40"/>
      <c r="C112" s="71"/>
      <c r="D112" s="72"/>
    </row>
    <row r="113" spans="1:4" x14ac:dyDescent="0.15">
      <c r="A113" s="63" t="s">
        <v>89</v>
      </c>
      <c r="B113" s="20">
        <f>MROUND(B108/1.077*0.077,0.05)</f>
        <v>9401.6</v>
      </c>
      <c r="C113" s="73" t="s">
        <v>101</v>
      </c>
      <c r="D113" s="65"/>
    </row>
    <row r="114" spans="1:4" x14ac:dyDescent="0.15">
      <c r="A114" s="70"/>
      <c r="B114" s="40"/>
      <c r="C114" s="71"/>
      <c r="D114" s="72"/>
    </row>
    <row r="115" spans="1:4" x14ac:dyDescent="0.15">
      <c r="A115" s="63" t="s">
        <v>96</v>
      </c>
      <c r="B115" s="20">
        <f>-12000</f>
        <v>-12000</v>
      </c>
      <c r="C115" s="73" t="s">
        <v>95</v>
      </c>
      <c r="D115" s="65"/>
    </row>
    <row r="116" spans="1:4" x14ac:dyDescent="0.15">
      <c r="A116" s="70"/>
      <c r="B116" s="40"/>
      <c r="C116" s="71"/>
      <c r="D116" s="72"/>
    </row>
    <row r="117" spans="1:4" x14ac:dyDescent="0.15">
      <c r="A117" s="63" t="s">
        <v>102</v>
      </c>
      <c r="B117" s="20">
        <v>-292.7</v>
      </c>
      <c r="C117" s="73" t="s">
        <v>103</v>
      </c>
      <c r="D117" s="65"/>
    </row>
    <row r="118" spans="1:4" x14ac:dyDescent="0.15">
      <c r="A118" s="70"/>
      <c r="B118" s="40"/>
      <c r="C118" s="71"/>
      <c r="D118" s="72"/>
    </row>
    <row r="119" spans="1:4" x14ac:dyDescent="0.15">
      <c r="A119" s="63">
        <v>399</v>
      </c>
      <c r="B119" s="20">
        <f>B117+B113</f>
        <v>9108.9</v>
      </c>
      <c r="C119" s="73" t="s">
        <v>104</v>
      </c>
      <c r="D119" s="65"/>
    </row>
    <row r="120" spans="1:4" x14ac:dyDescent="0.15">
      <c r="A120" s="70"/>
      <c r="B120" s="40"/>
      <c r="C120" s="71"/>
      <c r="D120" s="72"/>
    </row>
    <row r="121" spans="1:4" x14ac:dyDescent="0.15">
      <c r="A121" s="63">
        <v>400</v>
      </c>
      <c r="B121" s="20">
        <f>MROUND(45000*7.7/107.7,0.05)</f>
        <v>3217.25</v>
      </c>
      <c r="C121" s="73" t="s">
        <v>93</v>
      </c>
      <c r="D121" s="65"/>
    </row>
    <row r="122" spans="1:4" x14ac:dyDescent="0.15">
      <c r="A122" s="70"/>
      <c r="B122" s="40"/>
      <c r="C122" s="71"/>
      <c r="D122" s="72"/>
    </row>
    <row r="123" spans="1:4" x14ac:dyDescent="0.15">
      <c r="A123" s="63">
        <v>405</v>
      </c>
      <c r="B123" s="20">
        <f>MROUND(60000*7.7/107.7,0.05)</f>
        <v>4289.7</v>
      </c>
      <c r="C123" s="73" t="s">
        <v>94</v>
      </c>
      <c r="D123" s="65"/>
    </row>
    <row r="124" spans="1:4" x14ac:dyDescent="0.15">
      <c r="A124" s="70"/>
      <c r="B124" s="40"/>
      <c r="C124" s="71"/>
      <c r="D124" s="72"/>
    </row>
    <row r="125" spans="1:4" x14ac:dyDescent="0.15">
      <c r="A125" s="63">
        <v>479</v>
      </c>
      <c r="B125" s="20">
        <f>SUM(B121:B123)</f>
        <v>7506.95</v>
      </c>
      <c r="C125" s="73" t="s">
        <v>105</v>
      </c>
      <c r="D125" s="65"/>
    </row>
    <row r="126" spans="1:4" x14ac:dyDescent="0.15">
      <c r="A126" s="70"/>
      <c r="B126" s="40"/>
      <c r="C126" s="71"/>
      <c r="D126" s="72"/>
    </row>
    <row r="127" spans="1:4" x14ac:dyDescent="0.15">
      <c r="A127" s="70">
        <v>500</v>
      </c>
      <c r="B127" s="40">
        <f>B119-B125</f>
        <v>1601.9499999999998</v>
      </c>
      <c r="C127" s="71" t="s">
        <v>106</v>
      </c>
      <c r="D127" s="72"/>
    </row>
    <row r="129" spans="1:4" ht="14" thickBot="1" x14ac:dyDescent="0.2">
      <c r="A129" s="3" t="s">
        <v>146</v>
      </c>
    </row>
    <row r="130" spans="1:4" x14ac:dyDescent="0.15">
      <c r="A130" s="45" t="s">
        <v>118</v>
      </c>
      <c r="B130" s="46" t="b">
        <v>0</v>
      </c>
      <c r="C130" s="46" t="s">
        <v>107</v>
      </c>
      <c r="D130" s="47"/>
    </row>
    <row r="131" spans="1:4" x14ac:dyDescent="0.15">
      <c r="A131" s="7" t="s">
        <v>119</v>
      </c>
      <c r="B131" s="8" t="b">
        <v>1</v>
      </c>
      <c r="C131" s="8"/>
      <c r="D131" s="9"/>
    </row>
    <row r="132" spans="1:4" ht="14" thickBot="1" x14ac:dyDescent="0.2">
      <c r="A132" s="10" t="s">
        <v>120</v>
      </c>
      <c r="B132" s="11" t="b">
        <v>1</v>
      </c>
      <c r="C132" s="11" t="s">
        <v>108</v>
      </c>
      <c r="D132" s="12" t="s">
        <v>109</v>
      </c>
    </row>
    <row r="134" spans="1:4" ht="14" thickBot="1" x14ac:dyDescent="0.2">
      <c r="A134" s="3" t="s">
        <v>147</v>
      </c>
    </row>
    <row r="135" spans="1:4" x14ac:dyDescent="0.15">
      <c r="A135" s="45" t="s">
        <v>118</v>
      </c>
      <c r="B135" s="46" t="b">
        <v>0</v>
      </c>
      <c r="C135" s="46" t="s">
        <v>110</v>
      </c>
      <c r="D135" s="47"/>
    </row>
    <row r="136" spans="1:4" x14ac:dyDescent="0.15">
      <c r="A136" s="7" t="s">
        <v>119</v>
      </c>
      <c r="B136" s="8" t="b">
        <v>0</v>
      </c>
      <c r="C136" s="8" t="s">
        <v>111</v>
      </c>
      <c r="D136" s="9"/>
    </row>
    <row r="137" spans="1:4" x14ac:dyDescent="0.15">
      <c r="A137" s="7"/>
      <c r="B137" s="8"/>
      <c r="C137" s="8" t="s">
        <v>48</v>
      </c>
      <c r="D137" s="9" t="s">
        <v>112</v>
      </c>
    </row>
    <row r="138" spans="1:4" ht="14" thickBot="1" x14ac:dyDescent="0.2">
      <c r="A138" s="10" t="s">
        <v>120</v>
      </c>
      <c r="B138" s="11" t="b">
        <v>0</v>
      </c>
      <c r="C138" s="11" t="s">
        <v>113</v>
      </c>
      <c r="D138" s="12"/>
    </row>
  </sheetData>
  <mergeCells count="1">
    <mergeCell ref="A1:F1"/>
  </mergeCells>
  <pageMargins left="0.25" right="0.25" top="0.75" bottom="0.75" header="0.3" footer="0.3"/>
  <pageSetup paperSize="9" scale="95" fitToHeight="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Bravo</dc:creator>
  <cp:lastModifiedBy>Yannick Bravo</cp:lastModifiedBy>
  <cp:lastPrinted>2021-11-11T09:11:59Z</cp:lastPrinted>
  <dcterms:created xsi:type="dcterms:W3CDTF">2021-11-11T03:57:14Z</dcterms:created>
  <dcterms:modified xsi:type="dcterms:W3CDTF">2021-11-11T09:12:22Z</dcterms:modified>
</cp:coreProperties>
</file>