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annickbravo/Dropbox/_compta/exercices/"/>
    </mc:Choice>
  </mc:AlternateContent>
  <bookViews>
    <workbookView xWindow="5620" yWindow="1540" windowWidth="19980" windowHeight="13020" tabRatio="500"/>
  </bookViews>
  <sheets>
    <sheet name="TVA journalisation (2)" sheetId="4" r:id="rId1"/>
  </sheets>
  <definedNames>
    <definedName name="_xlnm.Print_Area" localSheetId="0">'TVA journalisation (2)'!$A$1:$G$74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4" l="1"/>
  <c r="F8" i="4"/>
  <c r="F38" i="4"/>
  <c r="G39" i="4"/>
  <c r="G49" i="4"/>
  <c r="F48" i="4"/>
  <c r="F52" i="4"/>
  <c r="F17" i="4"/>
  <c r="G18" i="4"/>
  <c r="G20" i="4"/>
  <c r="G15" i="4"/>
  <c r="F55" i="4"/>
  <c r="F70" i="4"/>
  <c r="G70" i="4"/>
  <c r="G62" i="4"/>
  <c r="G63" i="4"/>
  <c r="F67" i="4"/>
  <c r="G67" i="4"/>
  <c r="F63" i="4"/>
  <c r="G69" i="4"/>
  <c r="F69" i="4"/>
  <c r="G58" i="4"/>
  <c r="G57" i="4"/>
  <c r="G40" i="4"/>
  <c r="F41" i="4"/>
  <c r="F42" i="4"/>
  <c r="F30" i="4"/>
  <c r="F31" i="4"/>
  <c r="F28" i="4"/>
  <c r="G28" i="4"/>
  <c r="G22" i="4"/>
  <c r="G23" i="4"/>
  <c r="F15" i="4"/>
  <c r="F14" i="4"/>
  <c r="F13" i="4"/>
  <c r="G12" i="4"/>
  <c r="G6" i="4"/>
  <c r="F3" i="4"/>
  <c r="G4" i="4"/>
  <c r="F5" i="4"/>
</calcChain>
</file>

<file path=xl/sharedStrings.xml><?xml version="1.0" encoding="utf-8"?>
<sst xmlns="http://schemas.openxmlformats.org/spreadsheetml/2006/main" count="197" uniqueCount="96">
  <si>
    <t>Débit</t>
  </si>
  <si>
    <t>Crédit</t>
  </si>
  <si>
    <t>Libellé</t>
  </si>
  <si>
    <t>Débiteurs</t>
  </si>
  <si>
    <t>Téléphone</t>
  </si>
  <si>
    <t>-</t>
  </si>
  <si>
    <t>Créanciers</t>
  </si>
  <si>
    <t>Banque</t>
  </si>
  <si>
    <t>RR Obtenus</t>
  </si>
  <si>
    <t>TVA due</t>
  </si>
  <si>
    <t>n°</t>
  </si>
  <si>
    <t>Escomptes accordés</t>
  </si>
  <si>
    <t>Véhicules</t>
  </si>
  <si>
    <t>Produits financiers</t>
  </si>
  <si>
    <t>Charges financières</t>
  </si>
  <si>
    <t>5000 = 108%, x = 100%</t>
  </si>
  <si>
    <t>Achat Marchandises</t>
  </si>
  <si>
    <t>TVA R. s/ March.</t>
  </si>
  <si>
    <t>4629.65 x 5%</t>
  </si>
  <si>
    <t>4629.65 - 231.50 x 8 %</t>
  </si>
  <si>
    <t>5000 x 95 %</t>
  </si>
  <si>
    <t>Commande / rien à journaliser</t>
  </si>
  <si>
    <t>Prod. Plac. Fin.</t>
  </si>
  <si>
    <t>IA à récupérer</t>
  </si>
  <si>
    <t>Placements bancaires</t>
  </si>
  <si>
    <t>montant investi</t>
  </si>
  <si>
    <t>17.01-08.05 = 111 j.                                      7000 x 0.75 x 111 / 100 * 360</t>
  </si>
  <si>
    <t>Ventes Marchandises</t>
  </si>
  <si>
    <t>3000 x 1.07</t>
  </si>
  <si>
    <t>20 x 22</t>
  </si>
  <si>
    <t>440 x 35%</t>
  </si>
  <si>
    <t>440 x 65%</t>
  </si>
  <si>
    <t>Amortissements</t>
  </si>
  <si>
    <t>Cumul amort. Vhc</t>
  </si>
  <si>
    <t>65000 / 1.08</t>
  </si>
  <si>
    <t>65000/1.08=prix d'achat=60185.20     60185.20-23900= 36285.20                  36285.20 x 20 x 128 / 100*360</t>
  </si>
  <si>
    <t>Cumul amort. Vhc.</t>
  </si>
  <si>
    <t>23900 + 2580.30</t>
  </si>
  <si>
    <t>36936 = 108%, X = 8%</t>
  </si>
  <si>
    <t>on dit pas comment c'est payé…</t>
  </si>
  <si>
    <t>Prod. Exceptionnels</t>
  </si>
  <si>
    <t>différence</t>
  </si>
  <si>
    <t>250x 3 x 1.06</t>
  </si>
  <si>
    <t>795 x 9%</t>
  </si>
  <si>
    <t>795 - 71.55</t>
  </si>
  <si>
    <t>500 = 65%, X = 35%</t>
  </si>
  <si>
    <t>500 = 65%, X = 100 %</t>
  </si>
  <si>
    <t>Charges d'immeubles</t>
  </si>
  <si>
    <t>Location de locaux : exclu du champ de la tva donc on récupère pas.</t>
  </si>
  <si>
    <t>Intérêt moratoire client</t>
  </si>
  <si>
    <t>10.02 - 08.05 = 88 jours                            (45000x1.025)x5x88 / 100x360</t>
  </si>
  <si>
    <t>extourne</t>
  </si>
  <si>
    <t>TVA R. s/ Inv et ACE</t>
  </si>
  <si>
    <t>154 / 1.08 x 0.08</t>
  </si>
  <si>
    <t>Liquidités</t>
  </si>
  <si>
    <t>Différence de change</t>
  </si>
  <si>
    <t>Escompte</t>
  </si>
  <si>
    <t>Paiement</t>
  </si>
  <si>
    <t>20000 x 0.5 %</t>
  </si>
  <si>
    <t>pts</t>
  </si>
  <si>
    <t>TVA Due</t>
  </si>
  <si>
    <t>Pertes sur débiteurs</t>
  </si>
  <si>
    <t>5'400 + 120</t>
  </si>
  <si>
    <t>5400 = 108% , X = 8%</t>
  </si>
  <si>
    <t>5400 = 108%, X = 100% + 120.-</t>
  </si>
  <si>
    <t>3000 = 108%, X = 100 %</t>
  </si>
  <si>
    <t>3000 = 108%, X = 8 %</t>
  </si>
  <si>
    <t xml:space="preserve">rien à comptabiliser, écriture correcte. </t>
  </si>
  <si>
    <t>TVA R. s. inv. Et ace</t>
  </si>
  <si>
    <t>TVA R. s. March.</t>
  </si>
  <si>
    <t>Décompte TVA</t>
  </si>
  <si>
    <t>15'000.- = après 2 amortissements sur 5 = 60%. 20% = 5'000.-</t>
  </si>
  <si>
    <t>Publicitié</t>
  </si>
  <si>
    <t>Charges à payer</t>
  </si>
  <si>
    <t>54000 - TVA = 50000 de nov. À mars. Nov + dec = 20000</t>
  </si>
  <si>
    <t>Mobilier</t>
  </si>
  <si>
    <t>50000x75%x75%=28125 (valeur après 2 amort).x25% = 3ème amort</t>
  </si>
  <si>
    <t>2 mois sur 3 (6000 x 2 / 3)</t>
  </si>
  <si>
    <t>Produits d'immeubles</t>
  </si>
  <si>
    <t>PCA</t>
  </si>
  <si>
    <t>Cumul amort. Immeuble</t>
  </si>
  <si>
    <t>2'000'000 x 1/50</t>
  </si>
  <si>
    <t>54'000 x 0,03</t>
  </si>
  <si>
    <t>rien à comptabiliser.</t>
  </si>
  <si>
    <t>Acomptes de tiers</t>
  </si>
  <si>
    <t>5000 x 2%</t>
  </si>
  <si>
    <t>4900 x 8%</t>
  </si>
  <si>
    <t>Caisse</t>
  </si>
  <si>
    <t>10'800 * 75%</t>
  </si>
  <si>
    <t>7500 x 8%</t>
  </si>
  <si>
    <t xml:space="preserve">78 points au total, soit 100 minutes maximum environ. </t>
  </si>
  <si>
    <t>nombre de points obtenus divisé par 78 x 6</t>
  </si>
  <si>
    <t xml:space="preserve">SLOW - corrigé     </t>
  </si>
  <si>
    <t>souhaité : (90000x5%)+(50000x10%)+(50000x15%) = 17000, on a déjà 5000</t>
  </si>
  <si>
    <t>7000 + 16.20. Pas soumis à l'IA car &lt;200 CHF d'intérêts</t>
  </si>
  <si>
    <t>Ducroire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</si>
</sst>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.5"/>
      <color theme="1"/>
      <name val="Helvetica"/>
    </font>
    <font>
      <sz val="10"/>
      <color theme="1"/>
      <name val="Helvetica"/>
    </font>
    <font>
      <i/>
      <sz val="10.5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43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/>
    </xf>
  </cellXfs>
  <cellStyles count="86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Milliers" xfId="43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topLeftCell="A64" zoomScale="150" zoomScaleNormal="150" zoomScalePageLayoutView="150" workbookViewId="0">
      <selection activeCell="C66" sqref="C66"/>
    </sheetView>
  </sheetViews>
  <sheetFormatPr baseColWidth="10" defaultRowHeight="15" x14ac:dyDescent="0.2"/>
  <cols>
    <col min="1" max="1" width="3.5" style="5" bestFit="1" customWidth="1"/>
    <col min="2" max="2" width="3.83203125" style="6" bestFit="1" customWidth="1"/>
    <col min="3" max="4" width="17" style="5" customWidth="1"/>
    <col min="5" max="5" width="28.1640625" style="5" customWidth="1"/>
    <col min="6" max="7" width="9.33203125" style="5" customWidth="1"/>
    <col min="8" max="16384" width="10.83203125" style="5"/>
  </cols>
  <sheetData>
    <row r="1" spans="1:7" ht="17" customHeight="1" x14ac:dyDescent="0.2">
      <c r="B1" s="17" t="s">
        <v>92</v>
      </c>
      <c r="C1" s="17"/>
      <c r="D1" s="17"/>
      <c r="E1" s="17"/>
      <c r="F1" s="17"/>
      <c r="G1" s="17"/>
    </row>
    <row r="2" spans="1:7" x14ac:dyDescent="0.2">
      <c r="A2" s="4" t="s">
        <v>59</v>
      </c>
      <c r="B2" s="4" t="s">
        <v>10</v>
      </c>
      <c r="C2" s="4" t="s">
        <v>0</v>
      </c>
      <c r="D2" s="4" t="s">
        <v>1</v>
      </c>
      <c r="E2" s="4" t="s">
        <v>2</v>
      </c>
      <c r="F2" s="4" t="s">
        <v>0</v>
      </c>
      <c r="G2" s="4" t="s">
        <v>1</v>
      </c>
    </row>
    <row r="3" spans="1:7" x14ac:dyDescent="0.2">
      <c r="A3" s="9">
        <v>3</v>
      </c>
      <c r="B3" s="9">
        <v>1</v>
      </c>
      <c r="C3" s="1" t="s">
        <v>16</v>
      </c>
      <c r="D3" s="1" t="s">
        <v>5</v>
      </c>
      <c r="E3" s="1" t="s">
        <v>15</v>
      </c>
      <c r="F3" s="3">
        <f>MROUND(5000/1.08,0.05)</f>
        <v>4629.6500000000005</v>
      </c>
      <c r="G3" s="3">
        <v>0</v>
      </c>
    </row>
    <row r="4" spans="1:7" x14ac:dyDescent="0.2">
      <c r="A4" s="10"/>
      <c r="B4" s="10"/>
      <c r="C4" s="1" t="s">
        <v>5</v>
      </c>
      <c r="D4" s="1" t="s">
        <v>8</v>
      </c>
      <c r="E4" s="1" t="s">
        <v>18</v>
      </c>
      <c r="F4" s="3">
        <v>0</v>
      </c>
      <c r="G4" s="3">
        <f>MROUND(F3*0.05,0.05)</f>
        <v>231.5</v>
      </c>
    </row>
    <row r="5" spans="1:7" x14ac:dyDescent="0.2">
      <c r="A5" s="10"/>
      <c r="B5" s="10"/>
      <c r="C5" s="1" t="s">
        <v>17</v>
      </c>
      <c r="D5" s="1" t="s">
        <v>5</v>
      </c>
      <c r="E5" s="1" t="s">
        <v>19</v>
      </c>
      <c r="F5" s="3">
        <f>MROUND((F3-G4)*0.08,0.05)</f>
        <v>351.85</v>
      </c>
      <c r="G5" s="3">
        <v>0</v>
      </c>
    </row>
    <row r="6" spans="1:7" x14ac:dyDescent="0.2">
      <c r="A6" s="11"/>
      <c r="B6" s="11"/>
      <c r="C6" s="1" t="s">
        <v>5</v>
      </c>
      <c r="D6" s="1" t="s">
        <v>6</v>
      </c>
      <c r="E6" s="1" t="s">
        <v>20</v>
      </c>
      <c r="F6" s="3">
        <v>0</v>
      </c>
      <c r="G6" s="3">
        <f>5000*0.95</f>
        <v>4750</v>
      </c>
    </row>
    <row r="7" spans="1:7" x14ac:dyDescent="0.2">
      <c r="A7" s="2">
        <v>1</v>
      </c>
      <c r="B7" s="2">
        <v>2</v>
      </c>
      <c r="C7" s="12" t="s">
        <v>21</v>
      </c>
      <c r="D7" s="13"/>
      <c r="E7" s="13"/>
      <c r="F7" s="13"/>
      <c r="G7" s="14"/>
    </row>
    <row r="8" spans="1:7" ht="26" x14ac:dyDescent="0.2">
      <c r="A8" s="9">
        <v>4</v>
      </c>
      <c r="B8" s="9">
        <v>3</v>
      </c>
      <c r="C8" s="1" t="s">
        <v>7</v>
      </c>
      <c r="D8" s="1" t="s">
        <v>5</v>
      </c>
      <c r="E8" s="1" t="s">
        <v>94</v>
      </c>
      <c r="F8" s="3">
        <f>G10+G9</f>
        <v>7016.2</v>
      </c>
      <c r="G8" s="3"/>
    </row>
    <row r="9" spans="1:7" ht="26" x14ac:dyDescent="0.2">
      <c r="A9" s="10"/>
      <c r="B9" s="10"/>
      <c r="C9" s="1" t="s">
        <v>5</v>
      </c>
      <c r="D9" s="1" t="s">
        <v>13</v>
      </c>
      <c r="E9" s="1" t="s">
        <v>26</v>
      </c>
      <c r="F9" s="3"/>
      <c r="G9" s="3">
        <f>MROUND((7000*0.75*111)/(100*360),0.05)</f>
        <v>16.2</v>
      </c>
    </row>
    <row r="10" spans="1:7" ht="26" x14ac:dyDescent="0.2">
      <c r="A10" s="11"/>
      <c r="B10" s="11"/>
      <c r="C10" s="1" t="s">
        <v>5</v>
      </c>
      <c r="D10" s="1" t="s">
        <v>24</v>
      </c>
      <c r="E10" s="1" t="s">
        <v>25</v>
      </c>
      <c r="F10" s="3"/>
      <c r="G10" s="3">
        <v>7000</v>
      </c>
    </row>
    <row r="11" spans="1:7" ht="26" x14ac:dyDescent="0.2">
      <c r="A11" s="2">
        <v>2</v>
      </c>
      <c r="B11" s="2">
        <v>4</v>
      </c>
      <c r="C11" s="1" t="s">
        <v>3</v>
      </c>
      <c r="D11" s="1" t="s">
        <v>27</v>
      </c>
      <c r="E11" s="1" t="s">
        <v>28</v>
      </c>
      <c r="F11" s="3">
        <v>3210</v>
      </c>
      <c r="G11" s="3">
        <v>3210</v>
      </c>
    </row>
    <row r="12" spans="1:7" x14ac:dyDescent="0.2">
      <c r="A12" s="9">
        <v>3</v>
      </c>
      <c r="B12" s="9">
        <v>5</v>
      </c>
      <c r="C12" s="1" t="s">
        <v>5</v>
      </c>
      <c r="D12" s="1" t="s">
        <v>22</v>
      </c>
      <c r="E12" s="1" t="s">
        <v>29</v>
      </c>
      <c r="F12" s="3">
        <v>0</v>
      </c>
      <c r="G12" s="3">
        <f>20*22</f>
        <v>440</v>
      </c>
    </row>
    <row r="13" spans="1:7" x14ac:dyDescent="0.2">
      <c r="A13" s="10"/>
      <c r="B13" s="10"/>
      <c r="C13" s="1" t="s">
        <v>23</v>
      </c>
      <c r="D13" s="1" t="s">
        <v>5</v>
      </c>
      <c r="E13" s="1" t="s">
        <v>30</v>
      </c>
      <c r="F13" s="3">
        <f>440*0.35</f>
        <v>154</v>
      </c>
      <c r="G13" s="3">
        <v>0</v>
      </c>
    </row>
    <row r="14" spans="1:7" x14ac:dyDescent="0.2">
      <c r="A14" s="11"/>
      <c r="B14" s="11"/>
      <c r="C14" s="1" t="s">
        <v>7</v>
      </c>
      <c r="D14" s="1" t="s">
        <v>5</v>
      </c>
      <c r="E14" s="1" t="s">
        <v>31</v>
      </c>
      <c r="F14" s="3">
        <f>440*0.65</f>
        <v>286</v>
      </c>
      <c r="G14" s="3">
        <v>0</v>
      </c>
    </row>
    <row r="15" spans="1:7" ht="39" x14ac:dyDescent="0.2">
      <c r="A15" s="9">
        <v>6</v>
      </c>
      <c r="B15" s="9">
        <v>6</v>
      </c>
      <c r="C15" s="1" t="s">
        <v>32</v>
      </c>
      <c r="D15" s="1" t="s">
        <v>33</v>
      </c>
      <c r="E15" s="1" t="s">
        <v>35</v>
      </c>
      <c r="F15" s="3">
        <f>MROUND((36285.2*20*128)/(100*360),0.05)</f>
        <v>2580.3000000000002</v>
      </c>
      <c r="G15" s="3">
        <f>MROUND((36285.2*20*128)/(100*360),0.05)</f>
        <v>2580.3000000000002</v>
      </c>
    </row>
    <row r="16" spans="1:7" x14ac:dyDescent="0.2">
      <c r="A16" s="10"/>
      <c r="B16" s="10"/>
      <c r="C16" s="1" t="s">
        <v>5</v>
      </c>
      <c r="D16" s="1" t="s">
        <v>12</v>
      </c>
      <c r="E16" s="1" t="s">
        <v>34</v>
      </c>
      <c r="F16" s="3">
        <v>0</v>
      </c>
      <c r="G16" s="3">
        <v>60185.2</v>
      </c>
    </row>
    <row r="17" spans="1:7" x14ac:dyDescent="0.2">
      <c r="A17" s="10"/>
      <c r="B17" s="10"/>
      <c r="C17" s="1" t="s">
        <v>36</v>
      </c>
      <c r="D17" s="1" t="s">
        <v>5</v>
      </c>
      <c r="E17" s="1" t="s">
        <v>37</v>
      </c>
      <c r="F17" s="3">
        <f>23900+2580.3</f>
        <v>26480.3</v>
      </c>
      <c r="G17" s="3">
        <v>0</v>
      </c>
    </row>
    <row r="18" spans="1:7" x14ac:dyDescent="0.2">
      <c r="A18" s="10"/>
      <c r="B18" s="10"/>
      <c r="C18" s="1" t="s">
        <v>5</v>
      </c>
      <c r="D18" s="1" t="s">
        <v>9</v>
      </c>
      <c r="E18" s="1" t="s">
        <v>38</v>
      </c>
      <c r="F18" s="3">
        <v>0</v>
      </c>
      <c r="G18" s="3">
        <f>MROUND(36936/1.08*0.08,0.05)</f>
        <v>2736</v>
      </c>
    </row>
    <row r="19" spans="1:7" x14ac:dyDescent="0.2">
      <c r="A19" s="10"/>
      <c r="B19" s="10"/>
      <c r="C19" s="1" t="s">
        <v>3</v>
      </c>
      <c r="D19" s="1" t="s">
        <v>5</v>
      </c>
      <c r="E19" s="1" t="s">
        <v>39</v>
      </c>
      <c r="F19" s="3">
        <v>36936</v>
      </c>
      <c r="G19" s="3">
        <v>0</v>
      </c>
    </row>
    <row r="20" spans="1:7" x14ac:dyDescent="0.2">
      <c r="A20" s="11"/>
      <c r="B20" s="11"/>
      <c r="C20" s="1" t="s">
        <v>5</v>
      </c>
      <c r="D20" s="1" t="s">
        <v>40</v>
      </c>
      <c r="E20" s="1" t="s">
        <v>41</v>
      </c>
      <c r="F20" s="3">
        <v>0</v>
      </c>
      <c r="G20" s="3">
        <f>F17+F19-G16-G18</f>
        <v>495.10000000000582</v>
      </c>
    </row>
    <row r="21" spans="1:7" x14ac:dyDescent="0.2">
      <c r="A21" s="9">
        <v>3</v>
      </c>
      <c r="B21" s="9">
        <v>7</v>
      </c>
      <c r="C21" s="1" t="s">
        <v>16</v>
      </c>
      <c r="D21" s="1" t="s">
        <v>5</v>
      </c>
      <c r="E21" s="1" t="s">
        <v>42</v>
      </c>
      <c r="F21" s="3">
        <v>795</v>
      </c>
      <c r="G21" s="3">
        <v>0</v>
      </c>
    </row>
    <row r="22" spans="1:7" x14ac:dyDescent="0.2">
      <c r="A22" s="10"/>
      <c r="B22" s="10"/>
      <c r="C22" s="1" t="s">
        <v>5</v>
      </c>
      <c r="D22" s="1" t="s">
        <v>8</v>
      </c>
      <c r="E22" s="1" t="s">
        <v>43</v>
      </c>
      <c r="F22" s="3">
        <v>0</v>
      </c>
      <c r="G22" s="3">
        <f>795*0.09</f>
        <v>71.55</v>
      </c>
    </row>
    <row r="23" spans="1:7" x14ac:dyDescent="0.2">
      <c r="A23" s="11"/>
      <c r="B23" s="11"/>
      <c r="C23" s="1" t="s">
        <v>5</v>
      </c>
      <c r="D23" s="1" t="s">
        <v>6</v>
      </c>
      <c r="E23" s="1" t="s">
        <v>44</v>
      </c>
      <c r="F23" s="3">
        <v>0</v>
      </c>
      <c r="G23" s="3">
        <f>F21-G22</f>
        <v>723.45</v>
      </c>
    </row>
    <row r="24" spans="1:7" x14ac:dyDescent="0.2">
      <c r="A24" s="9">
        <v>3</v>
      </c>
      <c r="B24" s="9">
        <v>8</v>
      </c>
      <c r="C24" s="1" t="s">
        <v>7</v>
      </c>
      <c r="D24" s="1" t="s">
        <v>5</v>
      </c>
      <c r="E24" s="1"/>
      <c r="F24" s="3">
        <v>500</v>
      </c>
      <c r="G24" s="3" t="s">
        <v>5</v>
      </c>
    </row>
    <row r="25" spans="1:7" x14ac:dyDescent="0.2">
      <c r="A25" s="10"/>
      <c r="B25" s="10"/>
      <c r="C25" s="1" t="s">
        <v>23</v>
      </c>
      <c r="D25" s="1" t="s">
        <v>5</v>
      </c>
      <c r="E25" s="1" t="s">
        <v>45</v>
      </c>
      <c r="F25" s="3">
        <v>269.25</v>
      </c>
      <c r="G25" s="3" t="s">
        <v>5</v>
      </c>
    </row>
    <row r="26" spans="1:7" x14ac:dyDescent="0.2">
      <c r="A26" s="11"/>
      <c r="B26" s="11"/>
      <c r="C26" s="1" t="s">
        <v>5</v>
      </c>
      <c r="D26" s="1" t="s">
        <v>13</v>
      </c>
      <c r="E26" s="1" t="s">
        <v>46</v>
      </c>
      <c r="F26" s="3" t="s">
        <v>5</v>
      </c>
      <c r="G26" s="3">
        <v>769.25</v>
      </c>
    </row>
    <row r="27" spans="1:7" ht="26" x14ac:dyDescent="0.2">
      <c r="A27" s="2">
        <v>1</v>
      </c>
      <c r="B27" s="2">
        <v>9</v>
      </c>
      <c r="C27" s="1" t="s">
        <v>47</v>
      </c>
      <c r="D27" s="1" t="s">
        <v>7</v>
      </c>
      <c r="E27" s="1" t="s">
        <v>48</v>
      </c>
      <c r="F27" s="3">
        <v>216</v>
      </c>
      <c r="G27" s="3">
        <v>216</v>
      </c>
    </row>
    <row r="28" spans="1:7" ht="26" x14ac:dyDescent="0.2">
      <c r="A28" s="2">
        <v>2</v>
      </c>
      <c r="B28" s="2">
        <v>10</v>
      </c>
      <c r="C28" s="1" t="s">
        <v>3</v>
      </c>
      <c r="D28" s="1" t="s">
        <v>49</v>
      </c>
      <c r="E28" s="1" t="s">
        <v>50</v>
      </c>
      <c r="F28" s="3">
        <f>MROUND((45000*1.025)*0.05*88/360,0.05)</f>
        <v>563.75</v>
      </c>
      <c r="G28" s="3">
        <f>F28</f>
        <v>563.75</v>
      </c>
    </row>
    <row r="29" spans="1:7" x14ac:dyDescent="0.2">
      <c r="A29" s="9">
        <v>4</v>
      </c>
      <c r="B29" s="9">
        <v>11</v>
      </c>
      <c r="C29" s="1" t="s">
        <v>6</v>
      </c>
      <c r="D29" s="1" t="s">
        <v>4</v>
      </c>
      <c r="E29" s="1" t="s">
        <v>51</v>
      </c>
      <c r="F29" s="3">
        <v>154</v>
      </c>
      <c r="G29" s="3">
        <v>154</v>
      </c>
    </row>
    <row r="30" spans="1:7" x14ac:dyDescent="0.2">
      <c r="A30" s="10"/>
      <c r="B30" s="10"/>
      <c r="C30" s="1" t="s">
        <v>4</v>
      </c>
      <c r="D30" s="1" t="s">
        <v>5</v>
      </c>
      <c r="E30" s="1"/>
      <c r="F30" s="3">
        <f>154-11.4</f>
        <v>142.6</v>
      </c>
      <c r="G30" s="3">
        <v>0</v>
      </c>
    </row>
    <row r="31" spans="1:7" x14ac:dyDescent="0.2">
      <c r="A31" s="10"/>
      <c r="B31" s="10"/>
      <c r="C31" s="1" t="s">
        <v>52</v>
      </c>
      <c r="D31" s="1" t="s">
        <v>5</v>
      </c>
      <c r="E31" s="1" t="s">
        <v>53</v>
      </c>
      <c r="F31" s="3">
        <f>MROUND(154/1.08*0.08,0.05)</f>
        <v>11.4</v>
      </c>
      <c r="G31" s="3">
        <v>0</v>
      </c>
    </row>
    <row r="32" spans="1:7" x14ac:dyDescent="0.2">
      <c r="A32" s="11"/>
      <c r="B32" s="11"/>
      <c r="C32" s="1" t="s">
        <v>5</v>
      </c>
      <c r="D32" s="1" t="s">
        <v>54</v>
      </c>
      <c r="E32" s="1"/>
      <c r="F32" s="3">
        <v>0</v>
      </c>
      <c r="G32" s="3">
        <v>154</v>
      </c>
    </row>
    <row r="33" spans="1:7" x14ac:dyDescent="0.2">
      <c r="A33" s="9">
        <v>4</v>
      </c>
      <c r="B33" s="9">
        <v>12</v>
      </c>
      <c r="C33" s="1" t="s">
        <v>5</v>
      </c>
      <c r="D33" s="1" t="s">
        <v>3</v>
      </c>
      <c r="E33" s="1"/>
      <c r="F33" s="3">
        <v>0</v>
      </c>
      <c r="G33" s="3">
        <v>527.75</v>
      </c>
    </row>
    <row r="34" spans="1:7" x14ac:dyDescent="0.2">
      <c r="A34" s="10"/>
      <c r="B34" s="10"/>
      <c r="C34" s="1" t="s">
        <v>14</v>
      </c>
      <c r="D34" s="1" t="s">
        <v>5</v>
      </c>
      <c r="E34" s="1" t="s">
        <v>55</v>
      </c>
      <c r="F34" s="3">
        <v>13.25</v>
      </c>
      <c r="G34" s="3">
        <v>0</v>
      </c>
    </row>
    <row r="35" spans="1:7" x14ac:dyDescent="0.2">
      <c r="A35" s="10"/>
      <c r="B35" s="10"/>
      <c r="C35" s="1" t="s">
        <v>11</v>
      </c>
      <c r="D35" s="1" t="s">
        <v>5</v>
      </c>
      <c r="E35" s="1" t="s">
        <v>56</v>
      </c>
      <c r="F35" s="3">
        <v>10.3</v>
      </c>
      <c r="G35" s="3">
        <v>0</v>
      </c>
    </row>
    <row r="36" spans="1:7" x14ac:dyDescent="0.2">
      <c r="A36" s="11"/>
      <c r="B36" s="11"/>
      <c r="C36" s="1" t="s">
        <v>7</v>
      </c>
      <c r="D36" s="1" t="s">
        <v>5</v>
      </c>
      <c r="E36" s="1" t="s">
        <v>57</v>
      </c>
      <c r="F36" s="3">
        <v>504.2</v>
      </c>
      <c r="G36" s="3">
        <v>0</v>
      </c>
    </row>
    <row r="37" spans="1:7" x14ac:dyDescent="0.2">
      <c r="A37" s="9">
        <v>3</v>
      </c>
      <c r="B37" s="9">
        <v>13</v>
      </c>
      <c r="C37" s="1" t="s">
        <v>16</v>
      </c>
      <c r="D37" s="1" t="s">
        <v>5</v>
      </c>
      <c r="E37" s="1"/>
      <c r="F37" s="3">
        <v>7500</v>
      </c>
      <c r="G37" s="3">
        <v>0</v>
      </c>
    </row>
    <row r="38" spans="1:7" x14ac:dyDescent="0.2">
      <c r="A38" s="10"/>
      <c r="B38" s="10"/>
      <c r="C38" s="1" t="s">
        <v>17</v>
      </c>
      <c r="D38" s="1" t="s">
        <v>5</v>
      </c>
      <c r="E38" s="1" t="s">
        <v>89</v>
      </c>
      <c r="F38" s="3">
        <f>7500*0.08</f>
        <v>600</v>
      </c>
      <c r="G38" s="3">
        <v>0</v>
      </c>
    </row>
    <row r="39" spans="1:7" x14ac:dyDescent="0.2">
      <c r="A39" s="11"/>
      <c r="B39" s="11"/>
      <c r="C39" s="1" t="s">
        <v>5</v>
      </c>
      <c r="D39" s="1" t="s">
        <v>87</v>
      </c>
      <c r="E39" s="1" t="s">
        <v>88</v>
      </c>
      <c r="F39" s="3">
        <v>0</v>
      </c>
      <c r="G39" s="3">
        <f>10800*0.75</f>
        <v>8100</v>
      </c>
    </row>
    <row r="40" spans="1:7" x14ac:dyDescent="0.2">
      <c r="A40" s="9">
        <v>3</v>
      </c>
      <c r="B40" s="9">
        <v>14</v>
      </c>
      <c r="C40" s="1" t="s">
        <v>5</v>
      </c>
      <c r="D40" s="1" t="s">
        <v>22</v>
      </c>
      <c r="E40" s="1" t="s">
        <v>58</v>
      </c>
      <c r="F40" s="3">
        <v>0</v>
      </c>
      <c r="G40" s="3">
        <f>20000*0.005</f>
        <v>100</v>
      </c>
    </row>
    <row r="41" spans="1:7" x14ac:dyDescent="0.2">
      <c r="A41" s="10"/>
      <c r="B41" s="10"/>
      <c r="C41" s="1" t="s">
        <v>23</v>
      </c>
      <c r="D41" s="1" t="s">
        <v>5</v>
      </c>
      <c r="E41" s="1"/>
      <c r="F41" s="3">
        <f>G40*0.35</f>
        <v>35</v>
      </c>
      <c r="G41" s="3">
        <v>0</v>
      </c>
    </row>
    <row r="42" spans="1:7" x14ac:dyDescent="0.2">
      <c r="A42" s="11"/>
      <c r="B42" s="11"/>
      <c r="C42" s="1" t="s">
        <v>7</v>
      </c>
      <c r="D42" s="1" t="s">
        <v>5</v>
      </c>
      <c r="E42" s="1"/>
      <c r="F42" s="3">
        <f>G40-F41</f>
        <v>65</v>
      </c>
      <c r="G42" s="3">
        <v>0</v>
      </c>
    </row>
    <row r="43" spans="1:7" x14ac:dyDescent="0.2">
      <c r="A43" s="9">
        <v>3</v>
      </c>
      <c r="B43" s="9">
        <v>15</v>
      </c>
      <c r="C43" s="1" t="s">
        <v>5</v>
      </c>
      <c r="D43" s="1" t="s">
        <v>3</v>
      </c>
      <c r="E43" s="1" t="s">
        <v>62</v>
      </c>
      <c r="F43" s="3">
        <v>0</v>
      </c>
      <c r="G43" s="3">
        <v>5520</v>
      </c>
    </row>
    <row r="44" spans="1:7" x14ac:dyDescent="0.2">
      <c r="A44" s="10"/>
      <c r="B44" s="10"/>
      <c r="C44" s="1" t="s">
        <v>61</v>
      </c>
      <c r="D44" s="1" t="s">
        <v>5</v>
      </c>
      <c r="E44" s="1" t="s">
        <v>64</v>
      </c>
      <c r="F44" s="3">
        <v>5120</v>
      </c>
      <c r="G44" s="3">
        <v>0</v>
      </c>
    </row>
    <row r="45" spans="1:7" x14ac:dyDescent="0.2">
      <c r="A45" s="11"/>
      <c r="B45" s="11"/>
      <c r="C45" s="1" t="s">
        <v>60</v>
      </c>
      <c r="D45" s="1" t="s">
        <v>5</v>
      </c>
      <c r="E45" s="1" t="s">
        <v>63</v>
      </c>
      <c r="F45" s="3">
        <v>400</v>
      </c>
      <c r="G45" s="3">
        <v>0</v>
      </c>
    </row>
    <row r="46" spans="1:7" x14ac:dyDescent="0.2">
      <c r="A46" s="2">
        <v>1</v>
      </c>
      <c r="B46" s="2">
        <v>16</v>
      </c>
      <c r="C46" s="12" t="s">
        <v>67</v>
      </c>
      <c r="D46" s="13"/>
      <c r="E46" s="13"/>
      <c r="F46" s="13"/>
      <c r="G46" s="14"/>
    </row>
    <row r="47" spans="1:7" ht="26" x14ac:dyDescent="0.2">
      <c r="A47" s="9">
        <v>5</v>
      </c>
      <c r="B47" s="9">
        <v>17</v>
      </c>
      <c r="C47" s="1" t="s">
        <v>5</v>
      </c>
      <c r="D47" s="1" t="s">
        <v>27</v>
      </c>
      <c r="E47" s="1"/>
      <c r="F47" s="3" t="s">
        <v>5</v>
      </c>
      <c r="G47" s="3">
        <v>5000</v>
      </c>
    </row>
    <row r="48" spans="1:7" x14ac:dyDescent="0.2">
      <c r="A48" s="15"/>
      <c r="B48" s="15"/>
      <c r="C48" s="1" t="s">
        <v>11</v>
      </c>
      <c r="D48" s="1" t="s">
        <v>5</v>
      </c>
      <c r="E48" s="1" t="s">
        <v>85</v>
      </c>
      <c r="F48" s="3">
        <f>5000*0.02</f>
        <v>100</v>
      </c>
      <c r="G48" s="3" t="s">
        <v>5</v>
      </c>
    </row>
    <row r="49" spans="1:7" x14ac:dyDescent="0.2">
      <c r="A49" s="15"/>
      <c r="B49" s="15"/>
      <c r="C49" s="1" t="s">
        <v>5</v>
      </c>
      <c r="D49" s="1" t="s">
        <v>9</v>
      </c>
      <c r="E49" s="1" t="s">
        <v>86</v>
      </c>
      <c r="F49" s="3" t="s">
        <v>5</v>
      </c>
      <c r="G49" s="3">
        <f>4900*0.08</f>
        <v>392</v>
      </c>
    </row>
    <row r="50" spans="1:7" x14ac:dyDescent="0.2">
      <c r="A50" s="15"/>
      <c r="B50" s="15"/>
      <c r="C50" s="1" t="s">
        <v>84</v>
      </c>
      <c r="D50" s="1" t="s">
        <v>5</v>
      </c>
      <c r="E50" s="1"/>
      <c r="F50" s="3">
        <v>500</v>
      </c>
      <c r="G50" s="3"/>
    </row>
    <row r="51" spans="1:7" x14ac:dyDescent="0.2">
      <c r="A51" s="15"/>
      <c r="B51" s="15"/>
      <c r="C51" s="1" t="s">
        <v>60</v>
      </c>
      <c r="D51" s="1" t="s">
        <v>5</v>
      </c>
      <c r="E51" s="1"/>
      <c r="F51" s="3">
        <v>40</v>
      </c>
      <c r="G51" s="3"/>
    </row>
    <row r="52" spans="1:7" x14ac:dyDescent="0.2">
      <c r="A52" s="16"/>
      <c r="B52" s="16"/>
      <c r="C52" s="1" t="s">
        <v>87</v>
      </c>
      <c r="D52" s="1" t="s">
        <v>5</v>
      </c>
      <c r="E52" s="1"/>
      <c r="F52" s="3">
        <f>G47+G49-F48-F50-F51</f>
        <v>4752</v>
      </c>
      <c r="G52" s="3"/>
    </row>
    <row r="53" spans="1:7" ht="26" x14ac:dyDescent="0.2">
      <c r="A53" s="9">
        <v>6</v>
      </c>
      <c r="B53" s="9">
        <v>18</v>
      </c>
      <c r="C53" s="1" t="s">
        <v>5</v>
      </c>
      <c r="D53" s="1" t="s">
        <v>27</v>
      </c>
      <c r="E53" s="1"/>
      <c r="F53" s="3">
        <v>0</v>
      </c>
      <c r="G53" s="3">
        <v>1000</v>
      </c>
    </row>
    <row r="54" spans="1:7" x14ac:dyDescent="0.2">
      <c r="A54" s="10"/>
      <c r="B54" s="10"/>
      <c r="C54" s="1" t="s">
        <v>5</v>
      </c>
      <c r="D54" s="1" t="s">
        <v>9</v>
      </c>
      <c r="E54" s="1"/>
      <c r="F54" s="3">
        <v>0</v>
      </c>
      <c r="G54" s="3">
        <v>25</v>
      </c>
    </row>
    <row r="55" spans="1:7" x14ac:dyDescent="0.2">
      <c r="A55" s="10"/>
      <c r="B55" s="10"/>
      <c r="C55" s="1" t="s">
        <v>3</v>
      </c>
      <c r="D55" s="1" t="s">
        <v>5</v>
      </c>
      <c r="E55" s="1"/>
      <c r="F55" s="3">
        <f>G53+G54</f>
        <v>1025</v>
      </c>
      <c r="G55" s="3">
        <v>0</v>
      </c>
    </row>
    <row r="56" spans="1:7" x14ac:dyDescent="0.2">
      <c r="A56" s="10"/>
      <c r="B56" s="10"/>
      <c r="C56" s="1" t="s">
        <v>7</v>
      </c>
      <c r="D56" s="1" t="s">
        <v>5</v>
      </c>
      <c r="E56" s="1"/>
      <c r="F56" s="3">
        <v>3000</v>
      </c>
      <c r="G56" s="3">
        <v>0</v>
      </c>
    </row>
    <row r="57" spans="1:7" x14ac:dyDescent="0.2">
      <c r="A57" s="10"/>
      <c r="B57" s="10"/>
      <c r="C57" s="1" t="s">
        <v>5</v>
      </c>
      <c r="D57" s="1" t="s">
        <v>40</v>
      </c>
      <c r="E57" s="1" t="s">
        <v>65</v>
      </c>
      <c r="F57" s="3">
        <v>0</v>
      </c>
      <c r="G57" s="3">
        <f>MROUND(F56/1.08,0.05)</f>
        <v>2777.8</v>
      </c>
    </row>
    <row r="58" spans="1:7" x14ac:dyDescent="0.2">
      <c r="A58" s="11"/>
      <c r="B58" s="11"/>
      <c r="C58" s="1" t="s">
        <v>5</v>
      </c>
      <c r="D58" s="1" t="s">
        <v>9</v>
      </c>
      <c r="E58" s="1" t="s">
        <v>66</v>
      </c>
      <c r="F58" s="3">
        <v>0</v>
      </c>
      <c r="G58" s="3">
        <f>MROUND(F56/1.08*0.08,0.05)</f>
        <v>222.20000000000002</v>
      </c>
    </row>
    <row r="59" spans="1:7" x14ac:dyDescent="0.2">
      <c r="A59" s="9">
        <v>4</v>
      </c>
      <c r="B59" s="9">
        <v>19</v>
      </c>
      <c r="C59" s="1" t="s">
        <v>60</v>
      </c>
      <c r="D59" s="1" t="s">
        <v>5</v>
      </c>
      <c r="E59" s="1"/>
      <c r="F59" s="3">
        <v>45000</v>
      </c>
      <c r="G59" s="3">
        <v>0</v>
      </c>
    </row>
    <row r="60" spans="1:7" x14ac:dyDescent="0.2">
      <c r="A60" s="10"/>
      <c r="B60" s="10"/>
      <c r="C60" s="1" t="s">
        <v>5</v>
      </c>
      <c r="D60" s="1" t="s">
        <v>68</v>
      </c>
      <c r="E60" s="1"/>
      <c r="F60" s="3">
        <v>0</v>
      </c>
      <c r="G60" s="3">
        <v>12000</v>
      </c>
    </row>
    <row r="61" spans="1:7" x14ac:dyDescent="0.2">
      <c r="A61" s="10"/>
      <c r="B61" s="10"/>
      <c r="C61" s="1" t="s">
        <v>5</v>
      </c>
      <c r="D61" s="1" t="s">
        <v>69</v>
      </c>
      <c r="E61" s="1"/>
      <c r="F61" s="7">
        <v>0</v>
      </c>
      <c r="G61" s="7">
        <v>5000</v>
      </c>
    </row>
    <row r="62" spans="1:7" x14ac:dyDescent="0.2">
      <c r="A62" s="10"/>
      <c r="B62" s="10"/>
      <c r="C62" s="1" t="s">
        <v>5</v>
      </c>
      <c r="D62" s="1" t="s">
        <v>70</v>
      </c>
      <c r="E62" s="1"/>
      <c r="F62" s="7">
        <v>0</v>
      </c>
      <c r="G62" s="7">
        <f>F59-G60-G61</f>
        <v>28000</v>
      </c>
    </row>
    <row r="63" spans="1:7" x14ac:dyDescent="0.2">
      <c r="A63" s="11"/>
      <c r="B63" s="11"/>
      <c r="C63" s="1" t="s">
        <v>70</v>
      </c>
      <c r="D63" s="1" t="s">
        <v>7</v>
      </c>
      <c r="E63" s="1"/>
      <c r="F63" s="7">
        <f>G62</f>
        <v>28000</v>
      </c>
      <c r="G63" s="7">
        <f>G62</f>
        <v>28000</v>
      </c>
    </row>
    <row r="64" spans="1:7" ht="39" x14ac:dyDescent="0.2">
      <c r="A64" s="2">
        <v>3</v>
      </c>
      <c r="B64" s="2">
        <v>20</v>
      </c>
      <c r="C64" s="1" t="s">
        <v>61</v>
      </c>
      <c r="D64" s="1" t="s">
        <v>95</v>
      </c>
      <c r="E64" s="1" t="s">
        <v>93</v>
      </c>
      <c r="F64" s="7">
        <v>12000</v>
      </c>
      <c r="G64" s="7">
        <v>12000</v>
      </c>
    </row>
    <row r="65" spans="1:7" ht="26" x14ac:dyDescent="0.2">
      <c r="A65" s="2">
        <v>2</v>
      </c>
      <c r="B65" s="2">
        <v>21</v>
      </c>
      <c r="C65" s="1" t="s">
        <v>32</v>
      </c>
      <c r="D65" s="1" t="s">
        <v>12</v>
      </c>
      <c r="E65" s="1" t="s">
        <v>71</v>
      </c>
      <c r="F65" s="7">
        <v>5000</v>
      </c>
      <c r="G65" s="7">
        <v>5000</v>
      </c>
    </row>
    <row r="66" spans="1:7" ht="26" x14ac:dyDescent="0.2">
      <c r="A66" s="2">
        <v>2</v>
      </c>
      <c r="B66" s="2">
        <v>22</v>
      </c>
      <c r="C66" s="1" t="s">
        <v>72</v>
      </c>
      <c r="D66" s="1" t="s">
        <v>73</v>
      </c>
      <c r="E66" s="1" t="s">
        <v>74</v>
      </c>
      <c r="F66" s="7">
        <v>20000</v>
      </c>
      <c r="G66" s="7">
        <v>20000</v>
      </c>
    </row>
    <row r="67" spans="1:7" ht="26" x14ac:dyDescent="0.2">
      <c r="A67" s="2">
        <v>3</v>
      </c>
      <c r="B67" s="2">
        <v>23</v>
      </c>
      <c r="C67" s="1" t="s">
        <v>32</v>
      </c>
      <c r="D67" s="1" t="s">
        <v>75</v>
      </c>
      <c r="E67" s="1" t="s">
        <v>76</v>
      </c>
      <c r="F67" s="7">
        <f>28125*0.25</f>
        <v>7031.25</v>
      </c>
      <c r="G67" s="7">
        <f>F67</f>
        <v>7031.25</v>
      </c>
    </row>
    <row r="68" spans="1:7" x14ac:dyDescent="0.2">
      <c r="A68" s="2">
        <v>2</v>
      </c>
      <c r="B68" s="2">
        <v>24</v>
      </c>
      <c r="C68" s="1" t="s">
        <v>78</v>
      </c>
      <c r="D68" s="1" t="s">
        <v>79</v>
      </c>
      <c r="E68" s="1" t="s">
        <v>77</v>
      </c>
      <c r="F68" s="7">
        <v>4000</v>
      </c>
      <c r="G68" s="7">
        <v>4000</v>
      </c>
    </row>
    <row r="69" spans="1:7" ht="26" x14ac:dyDescent="0.2">
      <c r="A69" s="2">
        <v>2</v>
      </c>
      <c r="B69" s="2">
        <v>25</v>
      </c>
      <c r="C69" s="1" t="s">
        <v>47</v>
      </c>
      <c r="D69" s="1" t="s">
        <v>80</v>
      </c>
      <c r="E69" s="1" t="s">
        <v>81</v>
      </c>
      <c r="F69" s="7">
        <f>2000000/50</f>
        <v>40000</v>
      </c>
      <c r="G69" s="7">
        <f>2000000/50</f>
        <v>40000</v>
      </c>
    </row>
    <row r="70" spans="1:7" x14ac:dyDescent="0.2">
      <c r="A70" s="2">
        <v>2</v>
      </c>
      <c r="B70" s="2">
        <v>26</v>
      </c>
      <c r="C70" s="1" t="s">
        <v>14</v>
      </c>
      <c r="D70" s="1" t="s">
        <v>3</v>
      </c>
      <c r="E70" s="1" t="s">
        <v>82</v>
      </c>
      <c r="F70" s="7">
        <f>54000*0.03</f>
        <v>1620</v>
      </c>
      <c r="G70" s="7">
        <f>F70</f>
        <v>1620</v>
      </c>
    </row>
    <row r="71" spans="1:7" x14ac:dyDescent="0.2">
      <c r="A71" s="2">
        <v>1</v>
      </c>
      <c r="B71" s="2">
        <v>27</v>
      </c>
      <c r="C71" s="12" t="s">
        <v>83</v>
      </c>
      <c r="D71" s="13"/>
      <c r="E71" s="13"/>
      <c r="F71" s="13"/>
      <c r="G71" s="14"/>
    </row>
    <row r="73" spans="1:7" x14ac:dyDescent="0.2">
      <c r="A73" s="8" t="s">
        <v>90</v>
      </c>
      <c r="B73" s="5"/>
    </row>
    <row r="74" spans="1:7" x14ac:dyDescent="0.2">
      <c r="A74" s="8" t="s">
        <v>91</v>
      </c>
    </row>
  </sheetData>
  <mergeCells count="32">
    <mergeCell ref="B1:G1"/>
    <mergeCell ref="B33:B36"/>
    <mergeCell ref="C7:G7"/>
    <mergeCell ref="B8:B10"/>
    <mergeCell ref="B12:B14"/>
    <mergeCell ref="B15:B20"/>
    <mergeCell ref="B21:B23"/>
    <mergeCell ref="B40:B42"/>
    <mergeCell ref="A3:A6"/>
    <mergeCell ref="A8:A10"/>
    <mergeCell ref="A12:A14"/>
    <mergeCell ref="A15:A20"/>
    <mergeCell ref="A21:A23"/>
    <mergeCell ref="A24:A26"/>
    <mergeCell ref="A29:A32"/>
    <mergeCell ref="A33:A36"/>
    <mergeCell ref="A40:A42"/>
    <mergeCell ref="B24:B26"/>
    <mergeCell ref="B3:B6"/>
    <mergeCell ref="B29:B32"/>
    <mergeCell ref="A37:A39"/>
    <mergeCell ref="B37:B39"/>
    <mergeCell ref="B59:B63"/>
    <mergeCell ref="A59:A63"/>
    <mergeCell ref="C71:G71"/>
    <mergeCell ref="A43:A45"/>
    <mergeCell ref="B43:B45"/>
    <mergeCell ref="C46:G46"/>
    <mergeCell ref="B53:B58"/>
    <mergeCell ref="A53:A58"/>
    <mergeCell ref="A47:A52"/>
    <mergeCell ref="B47:B52"/>
  </mergeCells>
  <phoneticPr fontId="4" type="noConversion"/>
  <pageMargins left="0.25" right="0.25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TVA journalisation (2)</vt:lpstr>
    </vt:vector>
  </TitlesOfParts>
  <Company>Haute École spécialisée de Suisse occidentale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Bravo</dc:creator>
  <cp:lastModifiedBy>Utilisateur de Microsoft Office</cp:lastModifiedBy>
  <cp:lastPrinted>2016-11-12T13:44:24Z</cp:lastPrinted>
  <dcterms:created xsi:type="dcterms:W3CDTF">2014-11-08T11:47:11Z</dcterms:created>
  <dcterms:modified xsi:type="dcterms:W3CDTF">2017-04-03T15:01:50Z</dcterms:modified>
</cp:coreProperties>
</file>