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bookViews>
    <workbookView xWindow="1680" yWindow="460" windowWidth="23920" windowHeight="15540" tabRatio="500" activeTab="2"/>
  </bookViews>
  <sheets>
    <sheet name="Feuil1" sheetId="1" r:id="rId1"/>
    <sheet name="Feuil2" sheetId="2" r:id="rId2"/>
    <sheet name="Feuil3" sheetId="3" r:id="rId3"/>
    <sheet name="Feuil4" sheetId="4" r:id="rId4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4" l="1"/>
  <c r="C26" i="4"/>
  <c r="D26" i="4"/>
  <c r="E74" i="3"/>
  <c r="F74" i="3"/>
  <c r="D27" i="2"/>
  <c r="J21" i="2"/>
  <c r="G21" i="2"/>
  <c r="M14" i="2"/>
  <c r="D14" i="2"/>
  <c r="A14" i="2"/>
  <c r="J7" i="2"/>
  <c r="G7" i="2"/>
  <c r="D7" i="2"/>
  <c r="N43" i="2"/>
  <c r="K43" i="2"/>
  <c r="H43" i="2"/>
  <c r="E43" i="2"/>
  <c r="B43" i="2"/>
  <c r="N38" i="2"/>
  <c r="K38" i="2"/>
  <c r="H38" i="2"/>
  <c r="E38" i="2"/>
  <c r="B38" i="2"/>
  <c r="N33" i="2"/>
  <c r="K33" i="2"/>
  <c r="H33" i="2"/>
  <c r="E33" i="2"/>
  <c r="B33" i="2"/>
  <c r="N27" i="2"/>
  <c r="K27" i="2"/>
  <c r="H27" i="2"/>
  <c r="E27" i="2"/>
  <c r="B27" i="2"/>
  <c r="N21" i="2"/>
  <c r="K21" i="2"/>
  <c r="H21" i="2"/>
  <c r="E21" i="2"/>
  <c r="B21" i="2"/>
  <c r="N14" i="2"/>
  <c r="K14" i="2"/>
  <c r="H14" i="2"/>
  <c r="E14" i="2"/>
  <c r="B14" i="2"/>
  <c r="N7" i="2"/>
  <c r="K7" i="2"/>
  <c r="H7" i="2"/>
  <c r="E7" i="2"/>
  <c r="B7" i="2"/>
  <c r="A7" i="2"/>
  <c r="F71" i="3"/>
  <c r="E71" i="3"/>
  <c r="E64" i="3"/>
  <c r="E65" i="3"/>
  <c r="F62" i="3"/>
  <c r="E62" i="3"/>
  <c r="E59" i="3"/>
  <c r="J37" i="2"/>
  <c r="D36" i="1"/>
  <c r="D37" i="1"/>
  <c r="B36" i="1"/>
  <c r="B37" i="1"/>
  <c r="B38" i="1"/>
  <c r="N12" i="2"/>
  <c r="D13" i="2"/>
  <c r="B3" i="4"/>
  <c r="C3" i="4"/>
  <c r="D3" i="4"/>
  <c r="B4" i="4"/>
  <c r="C4" i="4"/>
  <c r="D4" i="4"/>
  <c r="B5" i="4"/>
  <c r="C5" i="4"/>
  <c r="D5" i="4"/>
  <c r="B6" i="4"/>
  <c r="C6" i="4"/>
  <c r="D6" i="4"/>
  <c r="B7" i="4"/>
  <c r="C7" i="4"/>
  <c r="D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2" i="4"/>
  <c r="B40" i="4"/>
  <c r="C2" i="4"/>
  <c r="C40" i="4"/>
  <c r="D40" i="4"/>
  <c r="D2" i="4"/>
  <c r="G1" i="3"/>
  <c r="D20" i="1"/>
  <c r="D41" i="1"/>
  <c r="D40" i="1"/>
  <c r="B40" i="1"/>
  <c r="B41" i="1"/>
  <c r="B42" i="1"/>
  <c r="B43" i="1"/>
  <c r="D43" i="1"/>
  <c r="B45" i="1"/>
  <c r="B46" i="1"/>
  <c r="D45" i="1"/>
  <c r="D46" i="1"/>
  <c r="D47" i="1"/>
  <c r="J17" i="2"/>
  <c r="J19" i="2"/>
  <c r="D32" i="1"/>
  <c r="D21" i="1"/>
  <c r="D22" i="1"/>
  <c r="D31" i="1"/>
  <c r="D33" i="1"/>
  <c r="B27" i="1"/>
  <c r="B19" i="1"/>
  <c r="B20" i="1"/>
  <c r="B21" i="1"/>
  <c r="B22" i="1"/>
  <c r="B23" i="1"/>
  <c r="B24" i="1"/>
  <c r="B28" i="1"/>
  <c r="B29" i="1"/>
  <c r="B30" i="1"/>
  <c r="B31" i="1"/>
  <c r="B32" i="1"/>
  <c r="B33" i="1"/>
  <c r="C32" i="1"/>
  <c r="G4" i="2"/>
  <c r="C46" i="1"/>
  <c r="C45" i="1"/>
  <c r="A46" i="1"/>
  <c r="C41" i="1"/>
  <c r="A43" i="1"/>
  <c r="A42" i="1"/>
  <c r="A41" i="1"/>
  <c r="A40" i="1"/>
  <c r="C37" i="1"/>
  <c r="A37" i="1"/>
  <c r="C36" i="1"/>
  <c r="A36" i="1"/>
  <c r="E6" i="2"/>
  <c r="B6" i="2"/>
  <c r="H20" i="2"/>
  <c r="B12" i="2"/>
  <c r="E19" i="2"/>
  <c r="J5" i="2"/>
  <c r="A30" i="1"/>
  <c r="A24" i="1"/>
  <c r="N31" i="2"/>
  <c r="K32" i="2"/>
  <c r="E32" i="2"/>
  <c r="B16" i="1"/>
  <c r="D14" i="1"/>
  <c r="D16" i="1"/>
  <c r="A13" i="1"/>
  <c r="A7" i="1"/>
</calcChain>
</file>

<file path=xl/sharedStrings.xml><?xml version="1.0" encoding="utf-8"?>
<sst xmlns="http://schemas.openxmlformats.org/spreadsheetml/2006/main" count="415" uniqueCount="136">
  <si>
    <t>Caisse</t>
  </si>
  <si>
    <t>Banque</t>
  </si>
  <si>
    <t>Poste</t>
  </si>
  <si>
    <t>Débiteurs</t>
  </si>
  <si>
    <t>Titres à C. T.</t>
  </si>
  <si>
    <t>Véhicules</t>
  </si>
  <si>
    <t>Machines</t>
  </si>
  <si>
    <t>IP s/ march.</t>
  </si>
  <si>
    <t>IP s/ inv.</t>
  </si>
  <si>
    <t>IA à récup.</t>
  </si>
  <si>
    <t>Immeubles</t>
  </si>
  <si>
    <t>Total</t>
  </si>
  <si>
    <t>TVA due</t>
  </si>
  <si>
    <t>Décompte TVA</t>
  </si>
  <si>
    <t>Créanciers</t>
  </si>
  <si>
    <t>Dettes bancaires</t>
  </si>
  <si>
    <t>Capital</t>
  </si>
  <si>
    <t>Stock M.</t>
  </si>
  <si>
    <t>Bilan initial</t>
  </si>
  <si>
    <t>Cumul amort s/ vhc</t>
  </si>
  <si>
    <t>Ducroire</t>
  </si>
  <si>
    <t>IA à récupérer</t>
  </si>
  <si>
    <t>Immeuble</t>
  </si>
  <si>
    <t>Stock de Marchandise</t>
  </si>
  <si>
    <t>Titres à court terme</t>
  </si>
  <si>
    <t>TVA r. s/ inv et ACE</t>
  </si>
  <si>
    <t>TVA r. s. march.</t>
  </si>
  <si>
    <t>Achats Marchandises</t>
  </si>
  <si>
    <t>Amortissements</t>
  </si>
  <si>
    <t>Charges plac. Fin.</t>
  </si>
  <si>
    <t>Charges financières</t>
  </si>
  <si>
    <t>Charges immeuble</t>
  </si>
  <si>
    <t>Pertes sur clients</t>
  </si>
  <si>
    <t>Produits d'immeuble</t>
  </si>
  <si>
    <t>Produits de plac. Fin.</t>
  </si>
  <si>
    <t>Produits financiers</t>
  </si>
  <si>
    <t>RR Accordés</t>
  </si>
  <si>
    <t>RR Obtenus</t>
  </si>
  <si>
    <t>Salaires</t>
  </si>
  <si>
    <t>Téléphone</t>
  </si>
  <si>
    <t>Var. Stock</t>
  </si>
  <si>
    <t>Ventes Marchandises</t>
  </si>
  <si>
    <t>Privé</t>
  </si>
  <si>
    <t>1) 1200</t>
  </si>
  <si>
    <t>1) 96</t>
  </si>
  <si>
    <t>1) 1296</t>
  </si>
  <si>
    <t>2) 1200</t>
  </si>
  <si>
    <t>3) 1800</t>
  </si>
  <si>
    <t>4) 200</t>
  </si>
  <si>
    <t>4) 207.40</t>
  </si>
  <si>
    <t>3) 2000</t>
  </si>
  <si>
    <t>4) 7.40</t>
  </si>
  <si>
    <t>3) 185.20</t>
  </si>
  <si>
    <t>3) 14.80</t>
  </si>
  <si>
    <t>6) 8700</t>
  </si>
  <si>
    <t>6) 3045</t>
  </si>
  <si>
    <t>6) 5655</t>
  </si>
  <si>
    <t>7) 50</t>
  </si>
  <si>
    <t>8) 2000</t>
  </si>
  <si>
    <t>8) 1851.85</t>
  </si>
  <si>
    <t>9) 340</t>
  </si>
  <si>
    <t>10) 1000</t>
  </si>
  <si>
    <t>11) 10000</t>
  </si>
  <si>
    <t>12) 40000</t>
  </si>
  <si>
    <t>12 ) 3200</t>
  </si>
  <si>
    <t>12) 43200</t>
  </si>
  <si>
    <t>13) 648</t>
  </si>
  <si>
    <t>14) 43200</t>
  </si>
  <si>
    <t>14) 42336</t>
  </si>
  <si>
    <t>14) 800</t>
  </si>
  <si>
    <t>14 ) 64</t>
  </si>
  <si>
    <t>15) 216</t>
  </si>
  <si>
    <t>15) 16</t>
  </si>
  <si>
    <t>5) 3200</t>
  </si>
  <si>
    <t>15) 200</t>
  </si>
  <si>
    <t>5) 256</t>
  </si>
  <si>
    <t>5) 3456</t>
  </si>
  <si>
    <t>16) 1000</t>
  </si>
  <si>
    <t>16) 100</t>
  </si>
  <si>
    <t>16) 72</t>
  </si>
  <si>
    <t>16) 972</t>
  </si>
  <si>
    <t>17) 10000</t>
  </si>
  <si>
    <t>18) 2052</t>
  </si>
  <si>
    <t>19) 1000</t>
  </si>
  <si>
    <t>20) 40000</t>
  </si>
  <si>
    <t>21) 6680</t>
  </si>
  <si>
    <t>22) 143</t>
  </si>
  <si>
    <t>22) 77</t>
  </si>
  <si>
    <t>22) 220</t>
  </si>
  <si>
    <t>23) 3200</t>
  </si>
  <si>
    <t>24) 100</t>
  </si>
  <si>
    <t>25) 1000</t>
  </si>
  <si>
    <t>26) 12000</t>
  </si>
  <si>
    <t>27) 60000</t>
  </si>
  <si>
    <t>27) 2743.40</t>
  </si>
  <si>
    <t>28)257.20</t>
  </si>
  <si>
    <t>28) 96</t>
  </si>
  <si>
    <t>28)96</t>
  </si>
  <si>
    <t>27)2743.40</t>
  </si>
  <si>
    <t>Bilan Final</t>
  </si>
  <si>
    <t>Résultat</t>
  </si>
  <si>
    <t>Marge brute</t>
  </si>
  <si>
    <t>Perte</t>
  </si>
  <si>
    <t>Perte finale</t>
  </si>
  <si>
    <t>(perte)</t>
  </si>
  <si>
    <t>n°</t>
  </si>
  <si>
    <t>débit</t>
  </si>
  <si>
    <t>crédit</t>
  </si>
  <si>
    <t>libellé</t>
  </si>
  <si>
    <t>Liste</t>
  </si>
  <si>
    <t>Achats marchandises</t>
  </si>
  <si>
    <t>Charges immeubles</t>
  </si>
  <si>
    <t>Electricité</t>
  </si>
  <si>
    <t>Produits d’immeubles</t>
  </si>
  <si>
    <t>RR accordés</t>
  </si>
  <si>
    <t>RR obtenus</t>
  </si>
  <si>
    <t>Variation de stock</t>
  </si>
  <si>
    <t>Ventes marchandises</t>
  </si>
  <si>
    <t>Charges de plac. fin. </t>
  </si>
  <si>
    <t>Produits de plac. fin. </t>
  </si>
  <si>
    <t>Cumul d’amort. s/ Véhicules</t>
  </si>
  <si>
    <t>Stock de marchandise</t>
  </si>
  <si>
    <t>TVA à récupérer s/ inv. et ACE</t>
  </si>
  <si>
    <t>TVA à récupérer s/ march.</t>
  </si>
  <si>
    <t>-</t>
  </si>
  <si>
    <t>solde</t>
  </si>
  <si>
    <t>8) 148.15</t>
  </si>
  <si>
    <t>28)3059.85</t>
  </si>
  <si>
    <t>1900*1.08</t>
  </si>
  <si>
    <t>(30'000+3400)*20%</t>
  </si>
  <si>
    <t>idem 2015</t>
  </si>
  <si>
    <t>600-&gt;500 : -100</t>
  </si>
  <si>
    <t>1000-&gt;2000 : +1000</t>
  </si>
  <si>
    <t>588000 = 98%, x = 2%</t>
  </si>
  <si>
    <t>5000 x 12</t>
  </si>
  <si>
    <t>274340 x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</si>
</sst>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6"/>
      <color theme="1"/>
      <name val="Helvetica"/>
    </font>
    <font>
      <sz val="6"/>
      <color theme="1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6"/>
      <color rgb="FF000000"/>
      <name val="Helvetica"/>
    </font>
    <font>
      <sz val="6"/>
      <color rgb="FF000000"/>
      <name val="Helvetica"/>
    </font>
    <font>
      <sz val="8"/>
      <name val="Calibri"/>
      <family val="2"/>
      <scheme val="minor"/>
    </font>
    <font>
      <sz val="9"/>
      <color theme="1"/>
      <name val="Helvetica"/>
    </font>
    <font>
      <b/>
      <u/>
      <sz val="12"/>
      <color theme="1"/>
      <name val="Calibri"/>
      <family val="2"/>
      <scheme val="minor"/>
    </font>
    <font>
      <b/>
      <sz val="9"/>
      <color theme="1"/>
      <name val="Helvetic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5" xfId="0" applyFont="1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7" xfId="0" applyFont="1" applyBorder="1"/>
    <xf numFmtId="0" fontId="5" fillId="0" borderId="4" xfId="0" applyFont="1" applyBorder="1"/>
    <xf numFmtId="0" fontId="8" fillId="0" borderId="0" xfId="0" applyFont="1"/>
    <xf numFmtId="0" fontId="9" fillId="0" borderId="0" xfId="0" applyFont="1"/>
    <xf numFmtId="0" fontId="8" fillId="0" borderId="8" xfId="0" applyFont="1" applyBorder="1"/>
    <xf numFmtId="0" fontId="8" fillId="0" borderId="8" xfId="0" applyFont="1" applyBorder="1" applyAlignment="1">
      <alignment wrapText="1"/>
    </xf>
    <xf numFmtId="0" fontId="10" fillId="0" borderId="0" xfId="0" applyFont="1"/>
  </cellXfs>
  <cellStyles count="2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24" zoomScale="250" zoomScaleNormal="250" zoomScalePageLayoutView="250" workbookViewId="0">
      <selection activeCell="A18" sqref="A18:D33"/>
    </sheetView>
  </sheetViews>
  <sheetFormatPr baseColWidth="10" defaultRowHeight="10" x14ac:dyDescent="0.15"/>
  <cols>
    <col min="1" max="1" width="10" style="1" customWidth="1"/>
    <col min="2" max="2" width="4.6640625" style="1" customWidth="1"/>
    <col min="3" max="3" width="9.33203125" style="1" customWidth="1"/>
    <col min="4" max="4" width="5" style="1" customWidth="1"/>
    <col min="5" max="16384" width="10.83203125" style="1"/>
  </cols>
  <sheetData>
    <row r="1" spans="1:4" x14ac:dyDescent="0.15">
      <c r="A1" s="13" t="s">
        <v>18</v>
      </c>
      <c r="B1" s="13"/>
      <c r="C1" s="13"/>
      <c r="D1" s="13"/>
    </row>
    <row r="2" spans="1:4" x14ac:dyDescent="0.15">
      <c r="A2" s="1" t="s">
        <v>0</v>
      </c>
      <c r="B2" s="1">
        <v>3200</v>
      </c>
      <c r="C2" s="2" t="s">
        <v>12</v>
      </c>
      <c r="D2" s="3">
        <v>0</v>
      </c>
    </row>
    <row r="3" spans="1:4" x14ac:dyDescent="0.15">
      <c r="A3" s="1" t="s">
        <v>1</v>
      </c>
      <c r="B3" s="1">
        <v>12000</v>
      </c>
      <c r="C3" s="4" t="s">
        <v>13</v>
      </c>
      <c r="D3" s="5">
        <v>1200</v>
      </c>
    </row>
    <row r="4" spans="1:4" x14ac:dyDescent="0.15">
      <c r="A4" s="1" t="s">
        <v>2</v>
      </c>
      <c r="B4" s="1">
        <v>4000</v>
      </c>
      <c r="C4" s="4" t="s">
        <v>14</v>
      </c>
      <c r="D4" s="5">
        <v>4200</v>
      </c>
    </row>
    <row r="5" spans="1:4" x14ac:dyDescent="0.15">
      <c r="A5" s="1" t="s">
        <v>4</v>
      </c>
      <c r="B5" s="1">
        <v>6000</v>
      </c>
      <c r="C5" s="4" t="s">
        <v>15</v>
      </c>
      <c r="D5" s="5">
        <v>400000</v>
      </c>
    </row>
    <row r="6" spans="1:4" x14ac:dyDescent="0.15">
      <c r="A6" s="1" t="s">
        <v>3</v>
      </c>
      <c r="B6" s="1">
        <v>12000</v>
      </c>
      <c r="C6" s="4"/>
      <c r="D6" s="5"/>
    </row>
    <row r="7" spans="1:4" x14ac:dyDescent="0.15">
      <c r="A7" s="1" t="str">
        <f>"- ducroire"</f>
        <v>- ducroire</v>
      </c>
      <c r="B7" s="1">
        <v>-600</v>
      </c>
      <c r="C7" s="4"/>
      <c r="D7" s="5"/>
    </row>
    <row r="8" spans="1:4" x14ac:dyDescent="0.15">
      <c r="A8" s="1" t="s">
        <v>7</v>
      </c>
      <c r="B8" s="1">
        <v>0</v>
      </c>
      <c r="C8" s="4"/>
      <c r="D8" s="5"/>
    </row>
    <row r="9" spans="1:4" x14ac:dyDescent="0.15">
      <c r="A9" s="1" t="s">
        <v>8</v>
      </c>
      <c r="B9" s="1">
        <v>0</v>
      </c>
      <c r="C9" s="4"/>
      <c r="D9" s="5"/>
    </row>
    <row r="10" spans="1:4" x14ac:dyDescent="0.15">
      <c r="A10" s="1" t="s">
        <v>9</v>
      </c>
      <c r="B10" s="1">
        <v>340</v>
      </c>
      <c r="C10" s="4"/>
      <c r="D10" s="5"/>
    </row>
    <row r="11" spans="1:4" x14ac:dyDescent="0.15">
      <c r="A11" s="1" t="s">
        <v>17</v>
      </c>
      <c r="B11" s="1">
        <v>1000</v>
      </c>
      <c r="C11" s="4"/>
      <c r="D11" s="5"/>
    </row>
    <row r="12" spans="1:4" x14ac:dyDescent="0.15">
      <c r="A12" s="1" t="s">
        <v>5</v>
      </c>
      <c r="B12" s="1">
        <v>32000</v>
      </c>
      <c r="C12" s="4"/>
      <c r="D12" s="5"/>
    </row>
    <row r="13" spans="1:4" x14ac:dyDescent="0.15">
      <c r="A13" s="1" t="str">
        <f>"- C.A. s/vhc"</f>
        <v>- C.A. s/vhc</v>
      </c>
      <c r="B13" s="1">
        <v>-3200</v>
      </c>
      <c r="C13" s="4"/>
      <c r="D13" s="5"/>
    </row>
    <row r="14" spans="1:4" x14ac:dyDescent="0.15">
      <c r="A14" s="1" t="s">
        <v>6</v>
      </c>
      <c r="B14" s="1">
        <v>25000</v>
      </c>
      <c r="C14" s="4" t="s">
        <v>16</v>
      </c>
      <c r="D14" s="5">
        <f>B16-405400</f>
        <v>274340</v>
      </c>
    </row>
    <row r="15" spans="1:4" x14ac:dyDescent="0.15">
      <c r="A15" s="6" t="s">
        <v>10</v>
      </c>
      <c r="B15" s="6">
        <v>588000</v>
      </c>
      <c r="C15" s="7"/>
      <c r="D15" s="6"/>
    </row>
    <row r="16" spans="1:4" x14ac:dyDescent="0.15">
      <c r="A16" s="1" t="s">
        <v>11</v>
      </c>
      <c r="B16" s="1">
        <f>SUM(B2:B15)</f>
        <v>679740</v>
      </c>
      <c r="C16" s="1" t="s">
        <v>11</v>
      </c>
      <c r="D16" s="1">
        <f>SUM(D2:D15)</f>
        <v>679740</v>
      </c>
    </row>
    <row r="18" spans="1:4" x14ac:dyDescent="0.15">
      <c r="A18" s="13" t="s">
        <v>99</v>
      </c>
      <c r="B18" s="13"/>
      <c r="C18" s="13"/>
      <c r="D18" s="13"/>
    </row>
    <row r="19" spans="1:4" x14ac:dyDescent="0.15">
      <c r="A19" s="1" t="s">
        <v>0</v>
      </c>
      <c r="B19" s="1">
        <f>Feuil2!E6</f>
        <v>696.59999999999991</v>
      </c>
      <c r="C19" s="2" t="s">
        <v>12</v>
      </c>
      <c r="D19" s="3">
        <v>0</v>
      </c>
    </row>
    <row r="20" spans="1:4" x14ac:dyDescent="0.15">
      <c r="A20" s="1" t="s">
        <v>1</v>
      </c>
      <c r="B20" s="1">
        <f>Feuil2!B6</f>
        <v>12832</v>
      </c>
      <c r="C20" s="4" t="s">
        <v>13</v>
      </c>
      <c r="D20" s="5">
        <f>Feuil2!D13</f>
        <v>2706.65</v>
      </c>
    </row>
    <row r="21" spans="1:4" x14ac:dyDescent="0.15">
      <c r="A21" s="1" t="s">
        <v>2</v>
      </c>
      <c r="B21" s="1">
        <f>Feuil2!H20</f>
        <v>44488</v>
      </c>
      <c r="C21" s="4" t="s">
        <v>14</v>
      </c>
      <c r="D21" s="5">
        <f>Feuil2!J5</f>
        <v>2648</v>
      </c>
    </row>
    <row r="22" spans="1:4" x14ac:dyDescent="0.15">
      <c r="A22" s="1" t="s">
        <v>4</v>
      </c>
      <c r="B22" s="1">
        <f>Feuil2!B25</f>
        <v>6000</v>
      </c>
      <c r="C22" s="4" t="s">
        <v>15</v>
      </c>
      <c r="D22" s="5">
        <f>Feuil2!G11</f>
        <v>360000</v>
      </c>
    </row>
    <row r="23" spans="1:4" x14ac:dyDescent="0.15">
      <c r="A23" s="1" t="s">
        <v>3</v>
      </c>
      <c r="B23" s="1">
        <f>Feuil2!B12</f>
        <v>10000</v>
      </c>
      <c r="C23" s="4"/>
      <c r="D23" s="5"/>
    </row>
    <row r="24" spans="1:4" x14ac:dyDescent="0.15">
      <c r="A24" s="1" t="str">
        <f>"- ducroire"</f>
        <v>- ducroire</v>
      </c>
      <c r="B24" s="1">
        <f>Feuil2!J11*-1</f>
        <v>-500</v>
      </c>
      <c r="C24" s="4"/>
      <c r="D24" s="5"/>
    </row>
    <row r="25" spans="1:4" x14ac:dyDescent="0.15">
      <c r="A25" s="1" t="s">
        <v>7</v>
      </c>
      <c r="B25" s="1">
        <v>0</v>
      </c>
      <c r="C25" s="4"/>
      <c r="D25" s="5"/>
    </row>
    <row r="26" spans="1:4" x14ac:dyDescent="0.15">
      <c r="A26" s="1" t="s">
        <v>8</v>
      </c>
      <c r="B26" s="1">
        <v>0</v>
      </c>
      <c r="C26" s="4"/>
      <c r="D26" s="5"/>
    </row>
    <row r="27" spans="1:4" x14ac:dyDescent="0.15">
      <c r="A27" s="1" t="s">
        <v>9</v>
      </c>
      <c r="B27" s="1">
        <f>Feuil2!N12</f>
        <v>3122</v>
      </c>
      <c r="C27" s="4"/>
      <c r="D27" s="5"/>
    </row>
    <row r="28" spans="1:4" x14ac:dyDescent="0.15">
      <c r="A28" s="1" t="s">
        <v>17</v>
      </c>
      <c r="B28" s="1">
        <f>Feuil2!N19</f>
        <v>2000</v>
      </c>
      <c r="C28" s="4"/>
      <c r="D28" s="5"/>
    </row>
    <row r="29" spans="1:4" x14ac:dyDescent="0.15">
      <c r="A29" s="1" t="s">
        <v>5</v>
      </c>
      <c r="B29" s="1">
        <f>Feuil2!N25</f>
        <v>32000</v>
      </c>
      <c r="C29" s="4"/>
      <c r="D29" s="5"/>
    </row>
    <row r="30" spans="1:4" x14ac:dyDescent="0.15">
      <c r="A30" s="1" t="str">
        <f>"- C.A. s/vhc"</f>
        <v>- C.A. s/vhc</v>
      </c>
      <c r="B30" s="1">
        <f>Feuil2!M4*-1</f>
        <v>-6400</v>
      </c>
      <c r="C30" s="4"/>
      <c r="D30" s="5"/>
    </row>
    <row r="31" spans="1:4" x14ac:dyDescent="0.15">
      <c r="A31" s="1" t="s">
        <v>6</v>
      </c>
      <c r="B31" s="1">
        <f>Feuil2!E19</f>
        <v>21720</v>
      </c>
      <c r="C31" s="4" t="s">
        <v>16</v>
      </c>
      <c r="D31" s="5">
        <f>Feuil2!G4</f>
        <v>304340</v>
      </c>
    </row>
    <row r="32" spans="1:4" x14ac:dyDescent="0.15">
      <c r="A32" s="6" t="s">
        <v>10</v>
      </c>
      <c r="B32" s="6">
        <f>Feuil2!B18</f>
        <v>576000</v>
      </c>
      <c r="C32" s="7" t="str">
        <f>Feuil2!J16</f>
        <v>Privé</v>
      </c>
      <c r="D32" s="6">
        <f>Feuil2!J19</f>
        <v>32263.949999999997</v>
      </c>
    </row>
    <row r="33" spans="1:5" x14ac:dyDescent="0.15">
      <c r="A33" s="1" t="s">
        <v>11</v>
      </c>
      <c r="B33" s="1">
        <f>SUM(B19:B32)</f>
        <v>701958.6</v>
      </c>
      <c r="C33" s="1" t="s">
        <v>11</v>
      </c>
      <c r="D33" s="1">
        <f>SUM(D19:D32)</f>
        <v>701958.6</v>
      </c>
      <c r="E33" s="8"/>
    </row>
    <row r="35" spans="1:5" x14ac:dyDescent="0.15">
      <c r="A35" s="17" t="s">
        <v>100</v>
      </c>
      <c r="B35" s="17"/>
      <c r="C35" s="17"/>
      <c r="D35" s="17"/>
    </row>
    <row r="36" spans="1:5" x14ac:dyDescent="0.15">
      <c r="A36" s="15" t="str">
        <f>Feuil2!A29</f>
        <v>Achats Marchandises</v>
      </c>
      <c r="B36" s="15">
        <f>Feuil2!B31</f>
        <v>1207.4000000000001</v>
      </c>
      <c r="C36" s="16" t="str">
        <f>Feuil2!M40</f>
        <v>Ventes Marchandises</v>
      </c>
      <c r="D36" s="15">
        <f>Feuil2!M42</f>
        <v>41000</v>
      </c>
    </row>
    <row r="37" spans="1:5" x14ac:dyDescent="0.15">
      <c r="A37" s="15" t="str">
        <f>Feuil2!M35</f>
        <v>RR Accordés</v>
      </c>
      <c r="B37" s="15">
        <f>Feuil2!N37</f>
        <v>100</v>
      </c>
      <c r="C37" s="16" t="str">
        <f>Feuil2!J40</f>
        <v>Var. Stock</v>
      </c>
      <c r="D37" s="15">
        <f>Feuil2!J42</f>
        <v>1000</v>
      </c>
    </row>
    <row r="38" spans="1:5" x14ac:dyDescent="0.15">
      <c r="A38" s="18" t="s">
        <v>101</v>
      </c>
      <c r="B38" s="18">
        <f>D36+D37-B36-B37</f>
        <v>40692.6</v>
      </c>
      <c r="C38" s="16"/>
      <c r="D38" s="15"/>
    </row>
    <row r="39" spans="1:5" x14ac:dyDescent="0.15">
      <c r="A39" s="15"/>
      <c r="B39" s="19"/>
      <c r="C39" s="18"/>
      <c r="D39" s="18"/>
    </row>
    <row r="40" spans="1:5" x14ac:dyDescent="0.15">
      <c r="A40" s="15" t="str">
        <f>Feuil2!D29</f>
        <v>Amortissements</v>
      </c>
      <c r="B40" s="19">
        <f>Feuil2!E32</f>
        <v>9880</v>
      </c>
      <c r="C40" s="18" t="s">
        <v>101</v>
      </c>
      <c r="D40" s="18">
        <f>B38</f>
        <v>40692.6</v>
      </c>
    </row>
    <row r="41" spans="1:5" x14ac:dyDescent="0.15">
      <c r="A41" s="15" t="str">
        <f>Feuil2!J29</f>
        <v>Charges financières</v>
      </c>
      <c r="B41" s="15">
        <f>Feuil2!K32</f>
        <v>3593.4</v>
      </c>
      <c r="C41" s="16" t="str">
        <f>Feuil2!J35</f>
        <v>Produits financiers</v>
      </c>
      <c r="D41" s="15">
        <f>Feuil2!J37</f>
        <v>405.2</v>
      </c>
    </row>
    <row r="42" spans="1:5" x14ac:dyDescent="0.15">
      <c r="A42" s="15" t="str">
        <f>Feuil2!A35</f>
        <v>Pertes sur clients</v>
      </c>
      <c r="B42" s="15">
        <f>Feuil2!B37</f>
        <v>1751.85</v>
      </c>
      <c r="C42" s="16"/>
      <c r="D42" s="15"/>
    </row>
    <row r="43" spans="1:5" x14ac:dyDescent="0.15">
      <c r="A43" s="15" t="str">
        <f>Feuil2!D40</f>
        <v>Salaires</v>
      </c>
      <c r="B43" s="15">
        <f>Feuil2!E42</f>
        <v>61000</v>
      </c>
      <c r="C43" s="20" t="s">
        <v>102</v>
      </c>
      <c r="D43" s="15">
        <f>(D40+D41-B40-B41-B42-B43)*-1</f>
        <v>35127.450000000004</v>
      </c>
    </row>
    <row r="44" spans="1:5" x14ac:dyDescent="0.15">
      <c r="A44" s="18"/>
      <c r="B44" s="15"/>
      <c r="C44" s="16"/>
      <c r="D44" s="15"/>
    </row>
    <row r="45" spans="1:5" x14ac:dyDescent="0.15">
      <c r="A45" s="18" t="s">
        <v>102</v>
      </c>
      <c r="B45" s="15">
        <f>D43</f>
        <v>35127.450000000004</v>
      </c>
      <c r="C45" s="16" t="str">
        <f>Feuil2!D35</f>
        <v>Produits d'immeuble</v>
      </c>
      <c r="D45" s="15">
        <f>Feuil2!D37</f>
        <v>10000</v>
      </c>
    </row>
    <row r="46" spans="1:5" x14ac:dyDescent="0.15">
      <c r="A46" s="15" t="str">
        <f>Feuil2!M29</f>
        <v>Charges immeuble</v>
      </c>
      <c r="B46" s="15">
        <f>Feuil2!N31</f>
        <v>14052</v>
      </c>
      <c r="C46" s="16" t="str">
        <f>Feuil2!G35</f>
        <v>Produits de plac. Fin.</v>
      </c>
      <c r="D46" s="15">
        <f>Feuil2!G37</f>
        <v>8700</v>
      </c>
    </row>
    <row r="47" spans="1:5" x14ac:dyDescent="0.15">
      <c r="A47" s="15"/>
      <c r="B47" s="15"/>
      <c r="C47" s="20" t="s">
        <v>103</v>
      </c>
      <c r="D47" s="15">
        <f>B45+B46-D45-D46</f>
        <v>30479.450000000004</v>
      </c>
    </row>
  </sheetData>
  <mergeCells count="3">
    <mergeCell ref="A1:D1"/>
    <mergeCell ref="A18:D18"/>
    <mergeCell ref="A35:D35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6" zoomScale="210" zoomScaleNormal="210" zoomScalePageLayoutView="210" workbookViewId="0">
      <selection activeCell="N43" sqref="A1:N43"/>
    </sheetView>
  </sheetViews>
  <sheetFormatPr baseColWidth="10" defaultRowHeight="10" x14ac:dyDescent="0.15"/>
  <cols>
    <col min="1" max="2" width="5.1640625" style="1" customWidth="1"/>
    <col min="3" max="3" width="1.83203125" style="1" customWidth="1"/>
    <col min="4" max="5" width="5.1640625" style="1" customWidth="1"/>
    <col min="6" max="6" width="1.83203125" style="1" customWidth="1"/>
    <col min="7" max="8" width="5.1640625" style="1" customWidth="1"/>
    <col min="9" max="9" width="1.83203125" style="1" customWidth="1"/>
    <col min="10" max="11" width="5.1640625" style="1" customWidth="1"/>
    <col min="12" max="12" width="1.83203125" style="1" customWidth="1"/>
    <col min="13" max="14" width="5.1640625" style="1" customWidth="1"/>
    <col min="15" max="15" width="4.1640625" style="1" customWidth="1"/>
    <col min="16" max="16384" width="10.83203125" style="1"/>
  </cols>
  <sheetData>
    <row r="1" spans="1:14" x14ac:dyDescent="0.15">
      <c r="A1" s="14" t="s">
        <v>1</v>
      </c>
      <c r="B1" s="14"/>
      <c r="D1" s="14" t="s">
        <v>0</v>
      </c>
      <c r="E1" s="14"/>
      <c r="G1" s="14" t="s">
        <v>16</v>
      </c>
      <c r="H1" s="14"/>
      <c r="J1" s="14" t="s">
        <v>14</v>
      </c>
      <c r="K1" s="14"/>
      <c r="M1" s="14" t="s">
        <v>19</v>
      </c>
      <c r="N1" s="14"/>
    </row>
    <row r="2" spans="1:14" x14ac:dyDescent="0.15">
      <c r="A2" s="8">
        <v>12000</v>
      </c>
      <c r="B2" s="4" t="s">
        <v>47</v>
      </c>
      <c r="D2" s="8">
        <v>3200</v>
      </c>
      <c r="E2" s="4" t="s">
        <v>49</v>
      </c>
      <c r="G2" s="1" t="s">
        <v>81</v>
      </c>
      <c r="H2" s="10">
        <v>274340</v>
      </c>
      <c r="J2" s="11" t="s">
        <v>50</v>
      </c>
      <c r="K2" s="10">
        <v>4200</v>
      </c>
      <c r="N2" s="10">
        <v>3200</v>
      </c>
    </row>
    <row r="3" spans="1:14" x14ac:dyDescent="0.15">
      <c r="A3" s="1" t="s">
        <v>56</v>
      </c>
      <c r="B3" s="4" t="s">
        <v>76</v>
      </c>
      <c r="D3" s="1" t="s">
        <v>80</v>
      </c>
      <c r="E3" s="4" t="s">
        <v>71</v>
      </c>
      <c r="H3" s="4" t="s">
        <v>84</v>
      </c>
      <c r="J3" s="12" t="s">
        <v>48</v>
      </c>
      <c r="K3" s="4" t="s">
        <v>45</v>
      </c>
      <c r="N3" s="4" t="s">
        <v>89</v>
      </c>
    </row>
    <row r="4" spans="1:14" x14ac:dyDescent="0.15">
      <c r="A4" s="1" t="s">
        <v>60</v>
      </c>
      <c r="B4" s="4" t="s">
        <v>57</v>
      </c>
      <c r="E4" s="4" t="s">
        <v>82</v>
      </c>
      <c r="G4" s="8">
        <f>H2+40000-10000</f>
        <v>304340</v>
      </c>
      <c r="H4" s="4"/>
      <c r="J4" s="12" t="s">
        <v>66</v>
      </c>
      <c r="K4" s="4"/>
      <c r="M4" s="8">
        <v>6400</v>
      </c>
      <c r="N4" s="4"/>
    </row>
    <row r="5" spans="1:14" x14ac:dyDescent="0.15">
      <c r="A5" s="1" t="s">
        <v>62</v>
      </c>
      <c r="B5" s="4" t="s">
        <v>81</v>
      </c>
      <c r="E5" s="4" t="s">
        <v>83</v>
      </c>
      <c r="H5" s="4"/>
      <c r="J5" s="8">
        <f>4200+1296-2200-648</f>
        <v>2648</v>
      </c>
      <c r="K5" s="4"/>
      <c r="N5" s="4"/>
    </row>
    <row r="6" spans="1:14" x14ac:dyDescent="0.15">
      <c r="A6" s="1" t="s">
        <v>86</v>
      </c>
      <c r="B6" s="10">
        <f>12000+5655+340+10000+143-1800-3456-50-10000</f>
        <v>12832</v>
      </c>
      <c r="E6" s="10">
        <f>3200+972-207.4-216-2052-1000</f>
        <v>696.59999999999991</v>
      </c>
      <c r="H6" s="4"/>
      <c r="K6" s="4"/>
      <c r="N6" s="4"/>
    </row>
    <row r="7" spans="1:14" x14ac:dyDescent="0.15">
      <c r="A7" s="11">
        <f>12000+5655+340+10000+143</f>
        <v>28138</v>
      </c>
      <c r="B7" s="2">
        <f>A7</f>
        <v>28138</v>
      </c>
      <c r="D7" s="11">
        <f>3200+972</f>
        <v>4172</v>
      </c>
      <c r="E7" s="2">
        <f>D7</f>
        <v>4172</v>
      </c>
      <c r="G7" s="11">
        <f>10000+G4</f>
        <v>314340</v>
      </c>
      <c r="H7" s="2">
        <f>G7</f>
        <v>314340</v>
      </c>
      <c r="J7" s="11">
        <f>4200+1296</f>
        <v>5496</v>
      </c>
      <c r="K7" s="2">
        <f>J7</f>
        <v>5496</v>
      </c>
      <c r="M7" s="11">
        <v>6400</v>
      </c>
      <c r="N7" s="2">
        <f>M7</f>
        <v>6400</v>
      </c>
    </row>
    <row r="8" spans="1:14" x14ac:dyDescent="0.15">
      <c r="A8" s="5"/>
      <c r="B8" s="5"/>
      <c r="D8" s="5"/>
      <c r="E8" s="5"/>
      <c r="G8" s="5"/>
      <c r="H8" s="5"/>
      <c r="J8" s="5"/>
      <c r="K8" s="5"/>
      <c r="M8" s="5"/>
      <c r="N8" s="5"/>
    </row>
    <row r="9" spans="1:14" x14ac:dyDescent="0.15">
      <c r="A9" s="14" t="s">
        <v>3</v>
      </c>
      <c r="B9" s="14"/>
      <c r="D9" s="14" t="s">
        <v>13</v>
      </c>
      <c r="E9" s="14"/>
      <c r="G9" s="14" t="s">
        <v>15</v>
      </c>
      <c r="H9" s="14"/>
      <c r="J9" s="14" t="s">
        <v>20</v>
      </c>
      <c r="K9" s="14"/>
      <c r="M9" s="14" t="s">
        <v>21</v>
      </c>
      <c r="N9" s="14"/>
    </row>
    <row r="10" spans="1:14" x14ac:dyDescent="0.15">
      <c r="A10" s="8">
        <v>12000</v>
      </c>
      <c r="B10" s="2" t="s">
        <v>58</v>
      </c>
      <c r="D10" s="1" t="s">
        <v>46</v>
      </c>
      <c r="E10" s="9">
        <v>1200</v>
      </c>
      <c r="G10" s="1" t="s">
        <v>84</v>
      </c>
      <c r="H10" s="9">
        <v>400000</v>
      </c>
      <c r="J10" s="1" t="s">
        <v>90</v>
      </c>
      <c r="K10" s="9">
        <v>600</v>
      </c>
      <c r="M10" s="8">
        <v>340</v>
      </c>
      <c r="N10" s="2" t="s">
        <v>60</v>
      </c>
    </row>
    <row r="11" spans="1:14" x14ac:dyDescent="0.15">
      <c r="A11" s="1" t="s">
        <v>65</v>
      </c>
      <c r="B11" s="4" t="s">
        <v>67</v>
      </c>
      <c r="D11" s="1" t="s">
        <v>95</v>
      </c>
      <c r="E11" s="4" t="s">
        <v>127</v>
      </c>
      <c r="G11" s="8">
        <v>360000</v>
      </c>
      <c r="H11" s="4"/>
      <c r="J11" s="8">
        <v>500</v>
      </c>
      <c r="K11" s="4"/>
      <c r="M11" s="1" t="s">
        <v>55</v>
      </c>
      <c r="N11" s="4"/>
    </row>
    <row r="12" spans="1:14" x14ac:dyDescent="0.15">
      <c r="B12" s="10">
        <f>12000+43200-43200-2000</f>
        <v>10000</v>
      </c>
      <c r="D12" s="1" t="s">
        <v>97</v>
      </c>
      <c r="E12" s="4"/>
      <c r="H12" s="4"/>
      <c r="K12" s="4"/>
      <c r="M12" s="1" t="s">
        <v>87</v>
      </c>
      <c r="N12" s="10">
        <f>3045+77</f>
        <v>3122</v>
      </c>
    </row>
    <row r="13" spans="1:14" x14ac:dyDescent="0.15">
      <c r="B13" s="4"/>
      <c r="D13" s="8">
        <f>3059.85-257.2-96</f>
        <v>2706.65</v>
      </c>
      <c r="E13" s="4"/>
      <c r="H13" s="4"/>
      <c r="J13" s="8"/>
      <c r="K13" s="4"/>
      <c r="N13" s="4"/>
    </row>
    <row r="14" spans="1:14" x14ac:dyDescent="0.15">
      <c r="A14" s="11">
        <f>12000+43200</f>
        <v>55200</v>
      </c>
      <c r="B14" s="2">
        <f>A14</f>
        <v>55200</v>
      </c>
      <c r="D14" s="11">
        <f>3059.85+1200</f>
        <v>4259.8500000000004</v>
      </c>
      <c r="E14" s="2">
        <f>D14</f>
        <v>4259.8500000000004</v>
      </c>
      <c r="G14" s="11">
        <v>400000</v>
      </c>
      <c r="H14" s="2">
        <f>G14</f>
        <v>400000</v>
      </c>
      <c r="J14" s="11">
        <v>600</v>
      </c>
      <c r="K14" s="2">
        <f>J14</f>
        <v>600</v>
      </c>
      <c r="M14" s="11">
        <f>340+3122</f>
        <v>3462</v>
      </c>
      <c r="N14" s="2">
        <f>M14</f>
        <v>3462</v>
      </c>
    </row>
    <row r="15" spans="1:14" x14ac:dyDescent="0.15">
      <c r="A15" s="5"/>
      <c r="B15" s="5"/>
      <c r="D15" s="5"/>
      <c r="E15" s="5"/>
      <c r="G15" s="5"/>
      <c r="H15" s="5"/>
      <c r="J15" s="5"/>
      <c r="K15" s="5"/>
      <c r="M15" s="5"/>
      <c r="N15" s="5"/>
    </row>
    <row r="16" spans="1:14" x14ac:dyDescent="0.15">
      <c r="A16" s="14" t="s">
        <v>22</v>
      </c>
      <c r="B16" s="14"/>
      <c r="D16" s="14" t="s">
        <v>6</v>
      </c>
      <c r="E16" s="14"/>
      <c r="G16" s="14" t="s">
        <v>2</v>
      </c>
      <c r="H16" s="14"/>
      <c r="J16" s="14" t="s">
        <v>42</v>
      </c>
      <c r="K16" s="14"/>
      <c r="M16" s="14" t="s">
        <v>23</v>
      </c>
      <c r="N16" s="14"/>
    </row>
    <row r="17" spans="1:14" x14ac:dyDescent="0.15">
      <c r="A17" s="8">
        <v>588000</v>
      </c>
      <c r="B17" s="2" t="s">
        <v>92</v>
      </c>
      <c r="D17" s="8">
        <v>25000</v>
      </c>
      <c r="E17" s="2" t="s">
        <v>85</v>
      </c>
      <c r="G17" s="8">
        <v>4000</v>
      </c>
      <c r="H17" s="2" t="s">
        <v>46</v>
      </c>
      <c r="J17" s="1">
        <f>Feuil1!D47</f>
        <v>30479.450000000004</v>
      </c>
      <c r="K17" s="2" t="s">
        <v>93</v>
      </c>
      <c r="M17" s="8">
        <v>1000</v>
      </c>
      <c r="N17" s="2"/>
    </row>
    <row r="18" spans="1:14" x14ac:dyDescent="0.15">
      <c r="B18" s="10">
        <v>576000</v>
      </c>
      <c r="D18" s="1" t="s">
        <v>73</v>
      </c>
      <c r="E18" s="4"/>
      <c r="G18" s="1" t="s">
        <v>68</v>
      </c>
      <c r="H18" s="4" t="s">
        <v>61</v>
      </c>
      <c r="J18" s="1" t="s">
        <v>104</v>
      </c>
      <c r="K18" s="4" t="s">
        <v>94</v>
      </c>
      <c r="M18" s="1" t="s">
        <v>91</v>
      </c>
      <c r="N18" s="4"/>
    </row>
    <row r="19" spans="1:14" x14ac:dyDescent="0.15">
      <c r="B19" s="4"/>
      <c r="D19" s="1" t="s">
        <v>74</v>
      </c>
      <c r="E19" s="10">
        <f>25000+3200+200-6680</f>
        <v>21720</v>
      </c>
      <c r="G19" s="1" t="s">
        <v>83</v>
      </c>
      <c r="H19" s="4" t="s">
        <v>66</v>
      </c>
      <c r="J19" s="8">
        <f>60000+2743.4-J17</f>
        <v>32263.949999999997</v>
      </c>
      <c r="K19" s="4"/>
      <c r="N19" s="10">
        <v>2000</v>
      </c>
    </row>
    <row r="20" spans="1:14" x14ac:dyDescent="0.15">
      <c r="B20" s="4"/>
      <c r="E20" s="4"/>
      <c r="H20" s="10">
        <f>4000+42336+1000-1200-1000-648</f>
        <v>44488</v>
      </c>
      <c r="K20" s="4"/>
      <c r="N20" s="4"/>
    </row>
    <row r="21" spans="1:14" x14ac:dyDescent="0.15">
      <c r="A21" s="11">
        <v>588000</v>
      </c>
      <c r="B21" s="2">
        <f>A21</f>
        <v>588000</v>
      </c>
      <c r="D21" s="11">
        <v>25000</v>
      </c>
      <c r="E21" s="2">
        <f>D21</f>
        <v>25000</v>
      </c>
      <c r="G21" s="11">
        <f>4000+42336+1000</f>
        <v>47336</v>
      </c>
      <c r="H21" s="2">
        <f>G21</f>
        <v>47336</v>
      </c>
      <c r="J21" s="11">
        <f>60000+2743.4</f>
        <v>62743.4</v>
      </c>
      <c r="K21" s="2">
        <f>J21</f>
        <v>62743.4</v>
      </c>
      <c r="M21" s="11">
        <v>2000</v>
      </c>
      <c r="N21" s="2">
        <f>M21</f>
        <v>2000</v>
      </c>
    </row>
    <row r="22" spans="1:14" x14ac:dyDescent="0.15">
      <c r="A22" s="5"/>
      <c r="B22" s="5"/>
      <c r="D22" s="5"/>
      <c r="E22" s="5"/>
      <c r="G22" s="5"/>
      <c r="H22" s="5"/>
      <c r="J22" s="5"/>
      <c r="K22" s="5"/>
      <c r="M22" s="5"/>
      <c r="N22" s="5"/>
    </row>
    <row r="23" spans="1:14" x14ac:dyDescent="0.15">
      <c r="A23" s="14" t="s">
        <v>24</v>
      </c>
      <c r="B23" s="14"/>
      <c r="D23" s="14" t="s">
        <v>25</v>
      </c>
      <c r="E23" s="14"/>
      <c r="G23" s="14" t="s">
        <v>26</v>
      </c>
      <c r="H23" s="14"/>
      <c r="J23" s="14" t="s">
        <v>12</v>
      </c>
      <c r="K23" s="14"/>
      <c r="M23" s="14" t="s">
        <v>5</v>
      </c>
      <c r="N23" s="14"/>
    </row>
    <row r="24" spans="1:14" x14ac:dyDescent="0.15">
      <c r="A24" s="8">
        <v>6000</v>
      </c>
      <c r="B24" s="2"/>
      <c r="D24" s="1" t="s">
        <v>75</v>
      </c>
      <c r="E24" s="2" t="s">
        <v>53</v>
      </c>
      <c r="G24" s="1" t="s">
        <v>44</v>
      </c>
      <c r="H24" s="2" t="s">
        <v>96</v>
      </c>
      <c r="J24" s="1" t="s">
        <v>126</v>
      </c>
      <c r="K24" s="2" t="s">
        <v>64</v>
      </c>
      <c r="M24" s="8">
        <v>32000</v>
      </c>
      <c r="N24" s="2"/>
    </row>
    <row r="25" spans="1:14" x14ac:dyDescent="0.15">
      <c r="B25" s="10">
        <v>6000</v>
      </c>
      <c r="D25" s="1" t="s">
        <v>72</v>
      </c>
      <c r="E25" s="4" t="s">
        <v>95</v>
      </c>
      <c r="H25" s="10"/>
      <c r="J25" s="1" t="s">
        <v>70</v>
      </c>
      <c r="K25" s="4" t="s">
        <v>79</v>
      </c>
      <c r="N25" s="10">
        <v>32000</v>
      </c>
    </row>
    <row r="26" spans="1:14" x14ac:dyDescent="0.15">
      <c r="B26" s="4"/>
      <c r="E26" s="10"/>
      <c r="H26" s="4"/>
      <c r="J26" s="1" t="s">
        <v>127</v>
      </c>
      <c r="K26" s="4"/>
      <c r="N26" s="4"/>
    </row>
    <row r="27" spans="1:14" x14ac:dyDescent="0.15">
      <c r="A27" s="11">
        <v>6000</v>
      </c>
      <c r="B27" s="2">
        <f>A27</f>
        <v>6000</v>
      </c>
      <c r="D27" s="11">
        <f>256+16</f>
        <v>272</v>
      </c>
      <c r="E27" s="2">
        <f>D27</f>
        <v>272</v>
      </c>
      <c r="G27" s="11">
        <v>96</v>
      </c>
      <c r="H27" s="2">
        <f>G27</f>
        <v>96</v>
      </c>
      <c r="J27" s="11">
        <v>3272</v>
      </c>
      <c r="K27" s="2">
        <f>J27</f>
        <v>3272</v>
      </c>
      <c r="M27" s="11">
        <v>32000</v>
      </c>
      <c r="N27" s="2">
        <f>M27</f>
        <v>32000</v>
      </c>
    </row>
    <row r="28" spans="1:14" x14ac:dyDescent="0.15">
      <c r="A28" s="5"/>
      <c r="B28" s="5"/>
      <c r="D28" s="5"/>
      <c r="E28" s="5"/>
      <c r="G28" s="5"/>
      <c r="H28" s="5"/>
      <c r="J28" s="5"/>
      <c r="K28" s="5"/>
      <c r="M28" s="5"/>
      <c r="N28" s="5"/>
    </row>
    <row r="29" spans="1:14" x14ac:dyDescent="0.15">
      <c r="A29" s="14" t="s">
        <v>27</v>
      </c>
      <c r="B29" s="14"/>
      <c r="D29" s="14" t="s">
        <v>28</v>
      </c>
      <c r="E29" s="14"/>
      <c r="G29" s="14" t="s">
        <v>29</v>
      </c>
      <c r="H29" s="14"/>
      <c r="J29" s="14" t="s">
        <v>30</v>
      </c>
      <c r="K29" s="14"/>
      <c r="M29" s="14" t="s">
        <v>31</v>
      </c>
      <c r="N29" s="14"/>
    </row>
    <row r="30" spans="1:14" x14ac:dyDescent="0.15">
      <c r="A30" s="1" t="s">
        <v>43</v>
      </c>
      <c r="B30" s="2"/>
      <c r="D30" s="1" t="s">
        <v>85</v>
      </c>
      <c r="E30" s="2"/>
      <c r="H30" s="2"/>
      <c r="J30" s="1" t="s">
        <v>57</v>
      </c>
      <c r="K30" s="2"/>
      <c r="M30" s="1" t="s">
        <v>82</v>
      </c>
      <c r="N30" s="2"/>
    </row>
    <row r="31" spans="1:14" x14ac:dyDescent="0.15">
      <c r="A31" s="1" t="s">
        <v>51</v>
      </c>
      <c r="B31" s="10">
        <v>1207.4000000000001</v>
      </c>
      <c r="D31" s="1" t="s">
        <v>89</v>
      </c>
      <c r="E31" s="4"/>
      <c r="H31" s="4"/>
      <c r="J31" s="1" t="s">
        <v>69</v>
      </c>
      <c r="K31" s="4"/>
      <c r="M31" s="1" t="s">
        <v>92</v>
      </c>
      <c r="N31" s="10">
        <f>14052</f>
        <v>14052</v>
      </c>
    </row>
    <row r="32" spans="1:14" x14ac:dyDescent="0.15">
      <c r="B32" s="4"/>
      <c r="E32" s="10">
        <f>6680+3200</f>
        <v>9880</v>
      </c>
      <c r="H32" s="4"/>
      <c r="J32" s="1" t="s">
        <v>98</v>
      </c>
      <c r="K32" s="10">
        <f>50+800+2743.4</f>
        <v>3593.4</v>
      </c>
      <c r="N32" s="4"/>
    </row>
    <row r="33" spans="1:14" x14ac:dyDescent="0.15">
      <c r="A33" s="11">
        <v>1207.4000000000001</v>
      </c>
      <c r="B33" s="2">
        <f>A33</f>
        <v>1207.4000000000001</v>
      </c>
      <c r="D33" s="11">
        <v>9880</v>
      </c>
      <c r="E33" s="2">
        <f>D33</f>
        <v>9880</v>
      </c>
      <c r="G33" s="11">
        <v>0</v>
      </c>
      <c r="H33" s="2">
        <f>G33</f>
        <v>0</v>
      </c>
      <c r="J33" s="11">
        <v>3593.4</v>
      </c>
      <c r="K33" s="2">
        <f>J33</f>
        <v>3593.4</v>
      </c>
      <c r="M33" s="11">
        <v>14052</v>
      </c>
      <c r="N33" s="2">
        <f>M33</f>
        <v>14052</v>
      </c>
    </row>
    <row r="34" spans="1:14" x14ac:dyDescent="0.15">
      <c r="A34" s="5"/>
      <c r="B34" s="5"/>
      <c r="D34" s="5"/>
      <c r="E34" s="5"/>
      <c r="G34" s="5"/>
      <c r="H34" s="5"/>
      <c r="J34" s="5"/>
      <c r="K34" s="5"/>
      <c r="M34" s="5"/>
      <c r="N34" s="5"/>
    </row>
    <row r="35" spans="1:14" x14ac:dyDescent="0.15">
      <c r="A35" s="14" t="s">
        <v>32</v>
      </c>
      <c r="B35" s="14"/>
      <c r="D35" s="14" t="s">
        <v>33</v>
      </c>
      <c r="E35" s="14"/>
      <c r="G35" s="14" t="s">
        <v>34</v>
      </c>
      <c r="H35" s="14"/>
      <c r="J35" s="14" t="s">
        <v>35</v>
      </c>
      <c r="K35" s="14"/>
      <c r="M35" s="14" t="s">
        <v>36</v>
      </c>
      <c r="N35" s="14"/>
    </row>
    <row r="36" spans="1:14" x14ac:dyDescent="0.15">
      <c r="A36" s="1" t="s">
        <v>59</v>
      </c>
      <c r="B36" s="2" t="s">
        <v>90</v>
      </c>
      <c r="E36" s="2" t="s">
        <v>62</v>
      </c>
      <c r="H36" s="2" t="s">
        <v>54</v>
      </c>
      <c r="K36" s="2" t="s">
        <v>52</v>
      </c>
      <c r="M36" s="1" t="s">
        <v>78</v>
      </c>
      <c r="N36" s="2"/>
    </row>
    <row r="37" spans="1:14" x14ac:dyDescent="0.15">
      <c r="B37" s="10">
        <v>1751.85</v>
      </c>
      <c r="D37" s="8">
        <v>10000</v>
      </c>
      <c r="E37" s="4"/>
      <c r="G37" s="8">
        <v>8700</v>
      </c>
      <c r="H37" s="4"/>
      <c r="J37" s="8">
        <f>220+185.2</f>
        <v>405.2</v>
      </c>
      <c r="K37" s="4" t="s">
        <v>88</v>
      </c>
      <c r="N37" s="10">
        <v>100</v>
      </c>
    </row>
    <row r="38" spans="1:14" x14ac:dyDescent="0.15">
      <c r="A38" s="11">
        <v>1851.85</v>
      </c>
      <c r="B38" s="2">
        <f>A38</f>
        <v>1851.85</v>
      </c>
      <c r="D38" s="11">
        <v>10000</v>
      </c>
      <c r="E38" s="2">
        <f>D38</f>
        <v>10000</v>
      </c>
      <c r="G38" s="11">
        <v>8700</v>
      </c>
      <c r="H38" s="2">
        <f>G38</f>
        <v>8700</v>
      </c>
      <c r="J38" s="11">
        <v>405.2</v>
      </c>
      <c r="K38" s="2">
        <f>J38</f>
        <v>405.2</v>
      </c>
      <c r="M38" s="11">
        <v>100</v>
      </c>
      <c r="N38" s="2">
        <f>M38</f>
        <v>100</v>
      </c>
    </row>
    <row r="39" spans="1:14" x14ac:dyDescent="0.15">
      <c r="A39" s="5"/>
      <c r="B39" s="5"/>
      <c r="D39" s="5"/>
      <c r="E39" s="5"/>
      <c r="G39" s="5"/>
      <c r="H39" s="5"/>
      <c r="J39" s="5"/>
      <c r="K39" s="5"/>
      <c r="M39" s="5"/>
      <c r="N39" s="5"/>
    </row>
    <row r="40" spans="1:14" x14ac:dyDescent="0.15">
      <c r="A40" s="14" t="s">
        <v>37</v>
      </c>
      <c r="B40" s="14"/>
      <c r="D40" s="14" t="s">
        <v>38</v>
      </c>
      <c r="E40" s="14"/>
      <c r="G40" s="14" t="s">
        <v>39</v>
      </c>
      <c r="H40" s="14"/>
      <c r="J40" s="14" t="s">
        <v>40</v>
      </c>
      <c r="K40" s="14"/>
      <c r="M40" s="14" t="s">
        <v>41</v>
      </c>
      <c r="N40" s="14"/>
    </row>
    <row r="41" spans="1:14" x14ac:dyDescent="0.15">
      <c r="B41" s="2"/>
      <c r="D41" s="1" t="s">
        <v>61</v>
      </c>
      <c r="E41" s="2"/>
      <c r="H41" s="2"/>
      <c r="K41" s="2" t="s">
        <v>91</v>
      </c>
      <c r="N41" s="2" t="s">
        <v>63</v>
      </c>
    </row>
    <row r="42" spans="1:14" x14ac:dyDescent="0.15">
      <c r="B42" s="4"/>
      <c r="D42" s="1" t="s">
        <v>93</v>
      </c>
      <c r="E42" s="10">
        <v>61000</v>
      </c>
      <c r="H42" s="4"/>
      <c r="J42" s="8">
        <v>1000</v>
      </c>
      <c r="K42" s="4"/>
      <c r="M42" s="8">
        <v>41000</v>
      </c>
      <c r="N42" s="4" t="s">
        <v>77</v>
      </c>
    </row>
    <row r="43" spans="1:14" x14ac:dyDescent="0.15">
      <c r="A43" s="11">
        <v>0</v>
      </c>
      <c r="B43" s="2">
        <f>A43</f>
        <v>0</v>
      </c>
      <c r="D43" s="11">
        <v>61000</v>
      </c>
      <c r="E43" s="2">
        <f>D43</f>
        <v>61000</v>
      </c>
      <c r="G43" s="11">
        <v>0</v>
      </c>
      <c r="H43" s="2">
        <f>G43</f>
        <v>0</v>
      </c>
      <c r="J43" s="11">
        <v>1000</v>
      </c>
      <c r="K43" s="2">
        <f>J43</f>
        <v>1000</v>
      </c>
      <c r="M43" s="11">
        <v>41000</v>
      </c>
      <c r="N43" s="2">
        <f>M43</f>
        <v>41000</v>
      </c>
    </row>
  </sheetData>
  <mergeCells count="35">
    <mergeCell ref="A1:B1"/>
    <mergeCell ref="D1:E1"/>
    <mergeCell ref="G1:H1"/>
    <mergeCell ref="J1:K1"/>
    <mergeCell ref="M1:N1"/>
    <mergeCell ref="A16:B16"/>
    <mergeCell ref="D16:E16"/>
    <mergeCell ref="G16:H16"/>
    <mergeCell ref="J16:K16"/>
    <mergeCell ref="M16:N16"/>
    <mergeCell ref="A9:B9"/>
    <mergeCell ref="D9:E9"/>
    <mergeCell ref="G9:H9"/>
    <mergeCell ref="J9:K9"/>
    <mergeCell ref="M9:N9"/>
    <mergeCell ref="A29:B29"/>
    <mergeCell ref="D29:E29"/>
    <mergeCell ref="G29:H29"/>
    <mergeCell ref="J29:K29"/>
    <mergeCell ref="M29:N29"/>
    <mergeCell ref="A23:B23"/>
    <mergeCell ref="D23:E23"/>
    <mergeCell ref="G23:H23"/>
    <mergeCell ref="J23:K23"/>
    <mergeCell ref="M23:N23"/>
    <mergeCell ref="A40:B40"/>
    <mergeCell ref="D40:E40"/>
    <mergeCell ref="G40:H40"/>
    <mergeCell ref="J40:K40"/>
    <mergeCell ref="M40:N40"/>
    <mergeCell ref="A35:B35"/>
    <mergeCell ref="D35:E35"/>
    <mergeCell ref="G35:H35"/>
    <mergeCell ref="J35:K35"/>
    <mergeCell ref="M35:N35"/>
  </mergeCells>
  <phoneticPr fontId="7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workbookViewId="0">
      <pane ySplit="1" topLeftCell="A37" activePane="bottomLeft" state="frozen"/>
      <selection pane="bottomLeft" activeCell="D70" sqref="D70"/>
    </sheetView>
  </sheetViews>
  <sheetFormatPr baseColWidth="10" defaultRowHeight="12" x14ac:dyDescent="0.15"/>
  <cols>
    <col min="1" max="1" width="3.5" style="23" bestFit="1" customWidth="1"/>
    <col min="2" max="3" width="23.33203125" style="24" customWidth="1"/>
    <col min="4" max="4" width="21.83203125" style="23" customWidth="1"/>
    <col min="5" max="5" width="7" style="23" bestFit="1" customWidth="1"/>
    <col min="6" max="6" width="6.1640625" style="23" bestFit="1" customWidth="1"/>
    <col min="7" max="16384" width="10.83203125" style="21"/>
  </cols>
  <sheetData>
    <row r="1" spans="1:7" x14ac:dyDescent="0.15">
      <c r="A1" s="23" t="s">
        <v>105</v>
      </c>
      <c r="B1" s="24" t="s">
        <v>106</v>
      </c>
      <c r="C1" s="24" t="s">
        <v>107</v>
      </c>
      <c r="D1" s="23" t="s">
        <v>108</v>
      </c>
      <c r="E1" s="23" t="s">
        <v>106</v>
      </c>
      <c r="F1" s="23" t="s">
        <v>107</v>
      </c>
      <c r="G1" s="25" t="str">
        <f>IF(Feuil4!B40=Feuil4!C40,"","oups")</f>
        <v/>
      </c>
    </row>
    <row r="2" spans="1:7" x14ac:dyDescent="0.15">
      <c r="A2" s="23">
        <v>1</v>
      </c>
      <c r="B2" s="24" t="s">
        <v>110</v>
      </c>
      <c r="C2" s="24" t="s">
        <v>124</v>
      </c>
      <c r="E2" s="23">
        <v>1200</v>
      </c>
      <c r="F2" s="23" t="s">
        <v>124</v>
      </c>
    </row>
    <row r="3" spans="1:7" x14ac:dyDescent="0.15">
      <c r="B3" s="24" t="s">
        <v>123</v>
      </c>
      <c r="C3" s="24" t="s">
        <v>124</v>
      </c>
      <c r="E3" s="23">
        <v>96</v>
      </c>
      <c r="F3" s="23" t="s">
        <v>124</v>
      </c>
    </row>
    <row r="4" spans="1:7" x14ac:dyDescent="0.15">
      <c r="B4" s="24" t="s">
        <v>124</v>
      </c>
      <c r="C4" s="24" t="s">
        <v>14</v>
      </c>
      <c r="E4" s="23" t="s">
        <v>124</v>
      </c>
      <c r="F4" s="23">
        <v>1296</v>
      </c>
    </row>
    <row r="5" spans="1:7" x14ac:dyDescent="0.15">
      <c r="A5" s="23">
        <v>2</v>
      </c>
      <c r="B5" s="24" t="s">
        <v>13</v>
      </c>
      <c r="C5" s="24" t="s">
        <v>2</v>
      </c>
      <c r="E5" s="23">
        <v>1200</v>
      </c>
      <c r="F5" s="23">
        <v>1200</v>
      </c>
    </row>
    <row r="6" spans="1:7" x14ac:dyDescent="0.15">
      <c r="A6" s="23">
        <v>3</v>
      </c>
      <c r="B6" s="24" t="s">
        <v>14</v>
      </c>
      <c r="C6" s="24" t="s">
        <v>124</v>
      </c>
      <c r="E6" s="23">
        <v>2000</v>
      </c>
      <c r="F6" s="23" t="s">
        <v>124</v>
      </c>
    </row>
    <row r="7" spans="1:7" x14ac:dyDescent="0.15">
      <c r="B7" s="24" t="s">
        <v>124</v>
      </c>
      <c r="C7" s="24" t="s">
        <v>35</v>
      </c>
      <c r="E7" s="23" t="s">
        <v>124</v>
      </c>
      <c r="F7" s="23">
        <v>185.2</v>
      </c>
    </row>
    <row r="8" spans="1:7" x14ac:dyDescent="0.15">
      <c r="B8" s="24" t="s">
        <v>124</v>
      </c>
      <c r="C8" s="24" t="s">
        <v>122</v>
      </c>
      <c r="E8" s="23" t="s">
        <v>124</v>
      </c>
      <c r="F8" s="23">
        <v>14.8</v>
      </c>
    </row>
    <row r="9" spans="1:7" x14ac:dyDescent="0.15">
      <c r="B9" s="24" t="s">
        <v>124</v>
      </c>
      <c r="C9" s="24" t="s">
        <v>1</v>
      </c>
      <c r="E9" s="23" t="s">
        <v>124</v>
      </c>
      <c r="F9" s="23">
        <v>1800</v>
      </c>
    </row>
    <row r="10" spans="1:7" hidden="1" x14ac:dyDescent="0.15">
      <c r="A10" s="23">
        <v>0</v>
      </c>
      <c r="B10" s="24" t="s">
        <v>1</v>
      </c>
      <c r="C10" s="24" t="s">
        <v>124</v>
      </c>
      <c r="E10" s="23">
        <v>12000</v>
      </c>
      <c r="F10" s="23" t="s">
        <v>124</v>
      </c>
    </row>
    <row r="11" spans="1:7" hidden="1" x14ac:dyDescent="0.15">
      <c r="B11" s="24" t="s">
        <v>0</v>
      </c>
      <c r="C11" s="24" t="s">
        <v>124</v>
      </c>
      <c r="E11" s="23">
        <v>3200</v>
      </c>
      <c r="F11" s="23" t="s">
        <v>124</v>
      </c>
    </row>
    <row r="12" spans="1:7" hidden="1" x14ac:dyDescent="0.15">
      <c r="B12" s="24" t="s">
        <v>124</v>
      </c>
      <c r="C12" s="24" t="s">
        <v>16</v>
      </c>
      <c r="E12" s="23" t="s">
        <v>124</v>
      </c>
      <c r="F12" s="23">
        <v>274340</v>
      </c>
    </row>
    <row r="13" spans="1:7" hidden="1" x14ac:dyDescent="0.15">
      <c r="B13" s="24" t="s">
        <v>124</v>
      </c>
      <c r="C13" s="24" t="s">
        <v>14</v>
      </c>
      <c r="E13" s="23" t="s">
        <v>124</v>
      </c>
      <c r="F13" s="23">
        <v>4200</v>
      </c>
    </row>
    <row r="14" spans="1:7" hidden="1" x14ac:dyDescent="0.15">
      <c r="B14" s="24" t="s">
        <v>124</v>
      </c>
      <c r="C14" s="24" t="s">
        <v>120</v>
      </c>
      <c r="E14" s="23" t="s">
        <v>124</v>
      </c>
      <c r="F14" s="23">
        <v>3200</v>
      </c>
    </row>
    <row r="15" spans="1:7" hidden="1" x14ac:dyDescent="0.15">
      <c r="B15" s="24" t="s">
        <v>3</v>
      </c>
      <c r="C15" s="24" t="s">
        <v>124</v>
      </c>
      <c r="E15" s="23">
        <v>12000</v>
      </c>
      <c r="F15" s="23" t="s">
        <v>124</v>
      </c>
    </row>
    <row r="16" spans="1:7" hidden="1" x14ac:dyDescent="0.15">
      <c r="B16" s="24" t="s">
        <v>124</v>
      </c>
      <c r="C16" s="24" t="s">
        <v>13</v>
      </c>
      <c r="E16" s="23" t="s">
        <v>124</v>
      </c>
      <c r="F16" s="23">
        <v>1200</v>
      </c>
    </row>
    <row r="17" spans="1:6" hidden="1" x14ac:dyDescent="0.15">
      <c r="B17" s="24" t="s">
        <v>124</v>
      </c>
      <c r="C17" s="24" t="s">
        <v>15</v>
      </c>
      <c r="E17" s="23" t="s">
        <v>124</v>
      </c>
      <c r="F17" s="23">
        <v>400000</v>
      </c>
    </row>
    <row r="18" spans="1:6" hidden="1" x14ac:dyDescent="0.15">
      <c r="B18" s="24" t="s">
        <v>124</v>
      </c>
      <c r="C18" s="24" t="s">
        <v>20</v>
      </c>
      <c r="E18" s="23" t="s">
        <v>124</v>
      </c>
      <c r="F18" s="23">
        <v>600</v>
      </c>
    </row>
    <row r="19" spans="1:6" hidden="1" x14ac:dyDescent="0.15">
      <c r="B19" s="24" t="s">
        <v>21</v>
      </c>
      <c r="C19" s="24" t="s">
        <v>124</v>
      </c>
      <c r="E19" s="23">
        <v>340</v>
      </c>
      <c r="F19" s="23" t="s">
        <v>124</v>
      </c>
    </row>
    <row r="20" spans="1:6" hidden="1" x14ac:dyDescent="0.15">
      <c r="B20" s="24" t="s">
        <v>22</v>
      </c>
      <c r="C20" s="24" t="s">
        <v>124</v>
      </c>
      <c r="E20" s="23">
        <v>588000</v>
      </c>
      <c r="F20" s="23" t="s">
        <v>124</v>
      </c>
    </row>
    <row r="21" spans="1:6" hidden="1" x14ac:dyDescent="0.15">
      <c r="B21" s="24" t="s">
        <v>6</v>
      </c>
      <c r="C21" s="24" t="s">
        <v>124</v>
      </c>
      <c r="E21" s="23">
        <v>25000</v>
      </c>
      <c r="F21" s="23" t="s">
        <v>124</v>
      </c>
    </row>
    <row r="22" spans="1:6" hidden="1" x14ac:dyDescent="0.15">
      <c r="B22" s="24" t="s">
        <v>2</v>
      </c>
      <c r="C22" s="24" t="s">
        <v>124</v>
      </c>
      <c r="E22" s="23">
        <v>4000</v>
      </c>
      <c r="F22" s="23" t="s">
        <v>124</v>
      </c>
    </row>
    <row r="23" spans="1:6" hidden="1" x14ac:dyDescent="0.15">
      <c r="B23" s="24" t="s">
        <v>23</v>
      </c>
      <c r="C23" s="24" t="s">
        <v>124</v>
      </c>
      <c r="E23" s="23">
        <v>1000</v>
      </c>
      <c r="F23" s="23" t="s">
        <v>124</v>
      </c>
    </row>
    <row r="24" spans="1:6" hidden="1" x14ac:dyDescent="0.15">
      <c r="B24" s="24" t="s">
        <v>24</v>
      </c>
      <c r="C24" s="24" t="s">
        <v>124</v>
      </c>
      <c r="E24" s="23">
        <v>6000</v>
      </c>
      <c r="F24" s="23" t="s">
        <v>124</v>
      </c>
    </row>
    <row r="25" spans="1:6" hidden="1" x14ac:dyDescent="0.15">
      <c r="B25" s="24" t="s">
        <v>5</v>
      </c>
      <c r="C25" s="24" t="s">
        <v>124</v>
      </c>
      <c r="E25" s="23">
        <v>32000</v>
      </c>
      <c r="F25" s="23" t="s">
        <v>124</v>
      </c>
    </row>
    <row r="26" spans="1:6" x14ac:dyDescent="0.15">
      <c r="A26" s="23">
        <v>4</v>
      </c>
      <c r="B26" s="24" t="s">
        <v>14</v>
      </c>
      <c r="C26" s="24" t="s">
        <v>124</v>
      </c>
      <c r="E26" s="23">
        <v>200</v>
      </c>
      <c r="F26" s="23" t="s">
        <v>124</v>
      </c>
    </row>
    <row r="27" spans="1:6" x14ac:dyDescent="0.15">
      <c r="B27" s="24" t="s">
        <v>124</v>
      </c>
      <c r="C27" s="24" t="s">
        <v>0</v>
      </c>
      <c r="E27" s="23" t="s">
        <v>124</v>
      </c>
      <c r="F27" s="23">
        <v>207.4</v>
      </c>
    </row>
    <row r="28" spans="1:6" x14ac:dyDescent="0.15">
      <c r="B28" s="24" t="s">
        <v>110</v>
      </c>
      <c r="C28" s="24" t="s">
        <v>124</v>
      </c>
      <c r="E28" s="23">
        <v>7.4</v>
      </c>
      <c r="F28" s="23" t="s">
        <v>124</v>
      </c>
    </row>
    <row r="29" spans="1:6" x14ac:dyDescent="0.15">
      <c r="A29" s="23">
        <v>5</v>
      </c>
      <c r="B29" s="24" t="s">
        <v>6</v>
      </c>
      <c r="C29" s="24" t="s">
        <v>124</v>
      </c>
      <c r="E29" s="23">
        <v>3200</v>
      </c>
      <c r="F29" s="23" t="s">
        <v>124</v>
      </c>
    </row>
    <row r="30" spans="1:6" x14ac:dyDescent="0.15">
      <c r="B30" s="24" t="s">
        <v>122</v>
      </c>
      <c r="C30" s="24" t="s">
        <v>124</v>
      </c>
      <c r="E30" s="23">
        <v>256</v>
      </c>
      <c r="F30" s="23" t="s">
        <v>124</v>
      </c>
    </row>
    <row r="31" spans="1:6" x14ac:dyDescent="0.15">
      <c r="B31" s="24" t="s">
        <v>124</v>
      </c>
      <c r="C31" s="24" t="s">
        <v>1</v>
      </c>
      <c r="E31" s="23" t="s">
        <v>124</v>
      </c>
      <c r="F31" s="23">
        <v>3456</v>
      </c>
    </row>
    <row r="32" spans="1:6" x14ac:dyDescent="0.15">
      <c r="A32" s="23">
        <v>6</v>
      </c>
      <c r="B32" s="24" t="s">
        <v>1</v>
      </c>
      <c r="C32" s="24" t="s">
        <v>124</v>
      </c>
      <c r="E32" s="23">
        <v>5655</v>
      </c>
      <c r="F32" s="23" t="s">
        <v>124</v>
      </c>
    </row>
    <row r="33" spans="1:6" x14ac:dyDescent="0.15">
      <c r="B33" s="24" t="s">
        <v>21</v>
      </c>
      <c r="C33" s="24" t="s">
        <v>124</v>
      </c>
      <c r="E33" s="23">
        <v>3045</v>
      </c>
      <c r="F33" s="23" t="s">
        <v>124</v>
      </c>
    </row>
    <row r="34" spans="1:6" x14ac:dyDescent="0.15">
      <c r="B34" s="24" t="s">
        <v>124</v>
      </c>
      <c r="C34" s="24" t="s">
        <v>119</v>
      </c>
      <c r="E34" s="23" t="s">
        <v>124</v>
      </c>
      <c r="F34" s="23">
        <v>8700</v>
      </c>
    </row>
    <row r="35" spans="1:6" x14ac:dyDescent="0.15">
      <c r="A35" s="23">
        <v>7</v>
      </c>
      <c r="B35" s="24" t="s">
        <v>30</v>
      </c>
      <c r="C35" s="24" t="s">
        <v>1</v>
      </c>
      <c r="E35" s="23">
        <v>50</v>
      </c>
      <c r="F35" s="23">
        <v>50</v>
      </c>
    </row>
    <row r="36" spans="1:6" x14ac:dyDescent="0.15">
      <c r="A36" s="23">
        <v>8</v>
      </c>
      <c r="B36" s="24" t="s">
        <v>32</v>
      </c>
      <c r="C36" s="24" t="s">
        <v>124</v>
      </c>
      <c r="E36" s="23">
        <v>1851.85</v>
      </c>
      <c r="F36" s="23" t="s">
        <v>124</v>
      </c>
    </row>
    <row r="37" spans="1:6" x14ac:dyDescent="0.15">
      <c r="B37" s="24" t="s">
        <v>12</v>
      </c>
      <c r="C37" s="24" t="s">
        <v>124</v>
      </c>
      <c r="E37" s="23">
        <v>148.15</v>
      </c>
      <c r="F37" s="23" t="s">
        <v>124</v>
      </c>
    </row>
    <row r="38" spans="1:6" x14ac:dyDescent="0.15">
      <c r="B38" s="24" t="s">
        <v>124</v>
      </c>
      <c r="C38" s="24" t="s">
        <v>3</v>
      </c>
      <c r="E38" s="23" t="s">
        <v>124</v>
      </c>
      <c r="F38" s="23">
        <v>2000</v>
      </c>
    </row>
    <row r="39" spans="1:6" x14ac:dyDescent="0.15">
      <c r="A39" s="23">
        <v>9</v>
      </c>
      <c r="B39" s="24" t="s">
        <v>1</v>
      </c>
      <c r="C39" s="24" t="s">
        <v>21</v>
      </c>
      <c r="E39" s="23">
        <v>340</v>
      </c>
      <c r="F39" s="23">
        <v>340</v>
      </c>
    </row>
    <row r="40" spans="1:6" x14ac:dyDescent="0.15">
      <c r="A40" s="23">
        <v>10</v>
      </c>
      <c r="B40" s="24" t="s">
        <v>38</v>
      </c>
      <c r="C40" s="24" t="s">
        <v>2</v>
      </c>
      <c r="E40" s="23">
        <v>1000</v>
      </c>
      <c r="F40" s="23">
        <v>1000</v>
      </c>
    </row>
    <row r="41" spans="1:6" x14ac:dyDescent="0.15">
      <c r="A41" s="23">
        <v>11</v>
      </c>
      <c r="B41" s="24" t="s">
        <v>1</v>
      </c>
      <c r="C41" s="24" t="s">
        <v>113</v>
      </c>
      <c r="E41" s="23">
        <v>10000</v>
      </c>
      <c r="F41" s="23">
        <v>10000</v>
      </c>
    </row>
    <row r="42" spans="1:6" x14ac:dyDescent="0.15">
      <c r="A42" s="23">
        <v>12</v>
      </c>
      <c r="B42" s="24" t="s">
        <v>3</v>
      </c>
      <c r="C42" s="24" t="s">
        <v>124</v>
      </c>
      <c r="E42" s="23">
        <v>43200</v>
      </c>
      <c r="F42" s="23" t="s">
        <v>124</v>
      </c>
    </row>
    <row r="43" spans="1:6" x14ac:dyDescent="0.15">
      <c r="B43" s="24" t="s">
        <v>124</v>
      </c>
      <c r="C43" s="24" t="s">
        <v>41</v>
      </c>
      <c r="E43" s="23" t="s">
        <v>124</v>
      </c>
      <c r="F43" s="23">
        <v>40000</v>
      </c>
    </row>
    <row r="44" spans="1:6" x14ac:dyDescent="0.15">
      <c r="B44" s="24" t="s">
        <v>124</v>
      </c>
      <c r="C44" s="24" t="s">
        <v>12</v>
      </c>
      <c r="E44" s="23" t="s">
        <v>124</v>
      </c>
      <c r="F44" s="23">
        <v>3200</v>
      </c>
    </row>
    <row r="45" spans="1:6" x14ac:dyDescent="0.15">
      <c r="A45" s="23">
        <v>13</v>
      </c>
      <c r="B45" s="24" t="s">
        <v>14</v>
      </c>
      <c r="C45" s="24" t="s">
        <v>2</v>
      </c>
      <c r="E45" s="23">
        <v>648</v>
      </c>
      <c r="F45" s="23">
        <v>648</v>
      </c>
    </row>
    <row r="46" spans="1:6" x14ac:dyDescent="0.15">
      <c r="A46" s="23">
        <v>14</v>
      </c>
      <c r="B46" s="24" t="s">
        <v>124</v>
      </c>
      <c r="C46" s="24" t="s">
        <v>3</v>
      </c>
      <c r="E46" s="23" t="s">
        <v>124</v>
      </c>
      <c r="F46" s="23">
        <v>43200</v>
      </c>
    </row>
    <row r="47" spans="1:6" x14ac:dyDescent="0.15">
      <c r="B47" s="24" t="s">
        <v>2</v>
      </c>
      <c r="C47" s="24" t="s">
        <v>124</v>
      </c>
      <c r="E47" s="23">
        <v>42336</v>
      </c>
      <c r="F47" s="23" t="s">
        <v>124</v>
      </c>
    </row>
    <row r="48" spans="1:6" x14ac:dyDescent="0.15">
      <c r="B48" s="24" t="s">
        <v>30</v>
      </c>
      <c r="C48" s="24" t="s">
        <v>124</v>
      </c>
      <c r="E48" s="23">
        <v>800</v>
      </c>
      <c r="F48" s="23" t="s">
        <v>124</v>
      </c>
    </row>
    <row r="49" spans="1:6" x14ac:dyDescent="0.15">
      <c r="B49" s="24" t="s">
        <v>12</v>
      </c>
      <c r="C49" s="24" t="s">
        <v>124</v>
      </c>
      <c r="E49" s="23">
        <v>64</v>
      </c>
      <c r="F49" s="23" t="s">
        <v>124</v>
      </c>
    </row>
    <row r="50" spans="1:6" x14ac:dyDescent="0.15">
      <c r="A50" s="23">
        <v>15</v>
      </c>
      <c r="B50" s="24" t="s">
        <v>124</v>
      </c>
      <c r="C50" s="24" t="s">
        <v>0</v>
      </c>
      <c r="E50" s="23" t="s">
        <v>124</v>
      </c>
      <c r="F50" s="23">
        <v>216</v>
      </c>
    </row>
    <row r="51" spans="1:6" x14ac:dyDescent="0.15">
      <c r="B51" s="24" t="s">
        <v>122</v>
      </c>
      <c r="C51" s="24" t="s">
        <v>124</v>
      </c>
      <c r="E51" s="23">
        <v>16</v>
      </c>
      <c r="F51" s="23" t="s">
        <v>124</v>
      </c>
    </row>
    <row r="52" spans="1:6" x14ac:dyDescent="0.15">
      <c r="B52" s="24" t="s">
        <v>6</v>
      </c>
      <c r="C52" s="24" t="s">
        <v>124</v>
      </c>
      <c r="E52" s="23">
        <v>200</v>
      </c>
      <c r="F52" s="23" t="s">
        <v>124</v>
      </c>
    </row>
    <row r="53" spans="1:6" x14ac:dyDescent="0.15">
      <c r="A53" s="23">
        <v>16</v>
      </c>
      <c r="B53" s="24" t="s">
        <v>124</v>
      </c>
      <c r="C53" s="24" t="s">
        <v>41</v>
      </c>
      <c r="E53" s="23" t="s">
        <v>124</v>
      </c>
      <c r="F53" s="23">
        <v>1000</v>
      </c>
    </row>
    <row r="54" spans="1:6" x14ac:dyDescent="0.15">
      <c r="B54" s="24" t="s">
        <v>124</v>
      </c>
      <c r="C54" s="24" t="s">
        <v>12</v>
      </c>
      <c r="E54" s="23" t="s">
        <v>124</v>
      </c>
      <c r="F54" s="23">
        <v>80</v>
      </c>
    </row>
    <row r="55" spans="1:6" x14ac:dyDescent="0.15">
      <c r="B55" s="24" t="s">
        <v>36</v>
      </c>
      <c r="C55" s="24" t="s">
        <v>124</v>
      </c>
      <c r="E55" s="23">
        <v>100</v>
      </c>
      <c r="F55" s="23" t="s">
        <v>124</v>
      </c>
    </row>
    <row r="56" spans="1:6" x14ac:dyDescent="0.15">
      <c r="B56" s="24" t="s">
        <v>12</v>
      </c>
      <c r="C56" s="24" t="s">
        <v>124</v>
      </c>
      <c r="E56" s="23">
        <v>8</v>
      </c>
      <c r="F56" s="23" t="s">
        <v>124</v>
      </c>
    </row>
    <row r="57" spans="1:6" x14ac:dyDescent="0.15">
      <c r="B57" s="24" t="s">
        <v>0</v>
      </c>
      <c r="C57" s="24" t="s">
        <v>124</v>
      </c>
      <c r="E57" s="23">
        <v>972</v>
      </c>
      <c r="F57" s="23" t="s">
        <v>124</v>
      </c>
    </row>
    <row r="58" spans="1:6" x14ac:dyDescent="0.15">
      <c r="A58" s="23">
        <v>17</v>
      </c>
      <c r="B58" s="24" t="s">
        <v>16</v>
      </c>
      <c r="C58" s="24" t="s">
        <v>1</v>
      </c>
      <c r="E58" s="23">
        <v>10000</v>
      </c>
      <c r="F58" s="23">
        <v>10000</v>
      </c>
    </row>
    <row r="59" spans="1:6" x14ac:dyDescent="0.15">
      <c r="A59" s="23">
        <v>18</v>
      </c>
      <c r="B59" s="24" t="s">
        <v>111</v>
      </c>
      <c r="C59" s="24" t="s">
        <v>0</v>
      </c>
      <c r="D59" s="23" t="s">
        <v>128</v>
      </c>
      <c r="E59" s="23">
        <f>1900*1.08</f>
        <v>2052</v>
      </c>
      <c r="F59" s="23">
        <v>2052</v>
      </c>
    </row>
    <row r="60" spans="1:6" x14ac:dyDescent="0.15">
      <c r="A60" s="23">
        <v>19</v>
      </c>
      <c r="B60" s="24" t="s">
        <v>2</v>
      </c>
      <c r="C60" s="24" t="s">
        <v>0</v>
      </c>
      <c r="E60" s="23">
        <v>1000</v>
      </c>
      <c r="F60" s="23">
        <v>1000</v>
      </c>
    </row>
    <row r="61" spans="1:6" x14ac:dyDescent="0.15">
      <c r="A61" s="23">
        <v>20</v>
      </c>
      <c r="B61" s="24" t="s">
        <v>15</v>
      </c>
      <c r="C61" s="24" t="s">
        <v>16</v>
      </c>
      <c r="E61" s="23">
        <v>40000</v>
      </c>
      <c r="F61" s="23">
        <v>40000</v>
      </c>
    </row>
    <row r="62" spans="1:6" x14ac:dyDescent="0.15">
      <c r="A62" s="23">
        <v>21</v>
      </c>
      <c r="B62" s="24" t="s">
        <v>28</v>
      </c>
      <c r="C62" s="24" t="s">
        <v>6</v>
      </c>
      <c r="D62" s="23" t="s">
        <v>129</v>
      </c>
      <c r="E62" s="23">
        <f>33400*0.2</f>
        <v>6680</v>
      </c>
      <c r="F62" s="23">
        <f>33400*0.2</f>
        <v>6680</v>
      </c>
    </row>
    <row r="63" spans="1:6" x14ac:dyDescent="0.15">
      <c r="A63" s="23">
        <v>22</v>
      </c>
      <c r="B63" s="24" t="s">
        <v>124</v>
      </c>
      <c r="C63" s="24" t="s">
        <v>35</v>
      </c>
      <c r="E63" s="23" t="s">
        <v>124</v>
      </c>
      <c r="F63" s="23">
        <v>220</v>
      </c>
    </row>
    <row r="64" spans="1:6" x14ac:dyDescent="0.15">
      <c r="B64" s="24" t="s">
        <v>1</v>
      </c>
      <c r="C64" s="24" t="s">
        <v>124</v>
      </c>
      <c r="E64" s="23">
        <f>220-77</f>
        <v>143</v>
      </c>
      <c r="F64" s="23" t="s">
        <v>124</v>
      </c>
    </row>
    <row r="65" spans="1:6" x14ac:dyDescent="0.15">
      <c r="B65" s="24" t="s">
        <v>21</v>
      </c>
      <c r="C65" s="24" t="s">
        <v>124</v>
      </c>
      <c r="E65" s="23">
        <f>220*0.35</f>
        <v>77</v>
      </c>
      <c r="F65" s="23" t="s">
        <v>124</v>
      </c>
    </row>
    <row r="66" spans="1:6" x14ac:dyDescent="0.15">
      <c r="A66" s="23">
        <v>23</v>
      </c>
      <c r="B66" s="24" t="s">
        <v>28</v>
      </c>
      <c r="C66" s="24" t="s">
        <v>120</v>
      </c>
      <c r="D66" s="23" t="s">
        <v>130</v>
      </c>
      <c r="E66" s="23">
        <v>3200</v>
      </c>
      <c r="F66" s="23">
        <v>3200</v>
      </c>
    </row>
    <row r="67" spans="1:6" x14ac:dyDescent="0.15">
      <c r="A67" s="23">
        <v>24</v>
      </c>
      <c r="B67" s="24" t="s">
        <v>20</v>
      </c>
      <c r="C67" s="24" t="s">
        <v>32</v>
      </c>
      <c r="D67" s="23" t="s">
        <v>131</v>
      </c>
      <c r="E67" s="23">
        <v>100</v>
      </c>
      <c r="F67" s="23">
        <v>100</v>
      </c>
    </row>
    <row r="68" spans="1:6" x14ac:dyDescent="0.15">
      <c r="A68" s="23">
        <v>25</v>
      </c>
      <c r="B68" s="24" t="s">
        <v>23</v>
      </c>
      <c r="C68" s="24" t="s">
        <v>116</v>
      </c>
      <c r="D68" s="23" t="s">
        <v>132</v>
      </c>
      <c r="E68" s="23">
        <v>1000</v>
      </c>
      <c r="F68" s="23">
        <v>1000</v>
      </c>
    </row>
    <row r="69" spans="1:6" x14ac:dyDescent="0.15">
      <c r="A69" s="23">
        <v>26</v>
      </c>
      <c r="B69" s="24" t="s">
        <v>111</v>
      </c>
      <c r="C69" s="24" t="s">
        <v>22</v>
      </c>
      <c r="D69" s="23" t="s">
        <v>133</v>
      </c>
      <c r="E69" s="23">
        <v>12000</v>
      </c>
      <c r="F69" s="23">
        <v>12000</v>
      </c>
    </row>
    <row r="70" spans="1:6" x14ac:dyDescent="0.15">
      <c r="A70" s="23">
        <v>27</v>
      </c>
      <c r="B70" s="24" t="s">
        <v>38</v>
      </c>
      <c r="C70" s="24" t="s">
        <v>42</v>
      </c>
      <c r="D70" s="23" t="s">
        <v>134</v>
      </c>
      <c r="E70" s="23">
        <v>60000</v>
      </c>
      <c r="F70" s="23">
        <v>60000</v>
      </c>
    </row>
    <row r="71" spans="1:6" x14ac:dyDescent="0.15">
      <c r="B71" s="24" t="s">
        <v>30</v>
      </c>
      <c r="C71" s="24" t="s">
        <v>42</v>
      </c>
      <c r="D71" s="23" t="s">
        <v>135</v>
      </c>
      <c r="E71" s="23">
        <f>274340*0.01</f>
        <v>2743.4</v>
      </c>
      <c r="F71" s="23">
        <f>274340*0.01</f>
        <v>2743.4</v>
      </c>
    </row>
    <row r="72" spans="1:6" x14ac:dyDescent="0.15">
      <c r="A72" s="23">
        <v>28</v>
      </c>
      <c r="B72" s="24" t="s">
        <v>13</v>
      </c>
      <c r="C72" s="24" t="s">
        <v>123</v>
      </c>
      <c r="E72" s="23">
        <v>96</v>
      </c>
      <c r="F72" s="23">
        <v>96</v>
      </c>
    </row>
    <row r="73" spans="1:6" x14ac:dyDescent="0.15">
      <c r="B73" s="24" t="s">
        <v>13</v>
      </c>
      <c r="C73" s="24" t="s">
        <v>122</v>
      </c>
      <c r="E73" s="23">
        <v>257.2</v>
      </c>
      <c r="F73" s="23">
        <v>257.2</v>
      </c>
    </row>
    <row r="74" spans="1:6" x14ac:dyDescent="0.15">
      <c r="B74" s="24" t="s">
        <v>12</v>
      </c>
      <c r="C74" s="24" t="s">
        <v>13</v>
      </c>
      <c r="E74" s="23">
        <f>3059.85</f>
        <v>3059.85</v>
      </c>
      <c r="F74" s="23">
        <f>3059.85</f>
        <v>3059.85</v>
      </c>
    </row>
    <row r="75" spans="1:6" hidden="1" x14ac:dyDescent="0.15">
      <c r="A75" s="23">
        <v>0</v>
      </c>
      <c r="B75" s="24" t="s">
        <v>42</v>
      </c>
      <c r="C75" s="24" t="s">
        <v>100</v>
      </c>
      <c r="E75" s="23">
        <v>30479.45</v>
      </c>
      <c r="F75" s="23">
        <v>30479.45</v>
      </c>
    </row>
  </sheetData>
  <phoneticPr fontId="7" type="noConversion"/>
  <pageMargins left="0.25" right="0.25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Feuil4!$A$2:$A$39</xm:f>
          </x14:formula1>
          <xm:sqref>B2:C152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1" workbookViewId="0">
      <selection activeCell="B41" sqref="B41"/>
    </sheetView>
  </sheetViews>
  <sheetFormatPr baseColWidth="10" defaultRowHeight="16" x14ac:dyDescent="0.2"/>
  <cols>
    <col min="1" max="1" width="21.6640625" bestFit="1" customWidth="1"/>
  </cols>
  <sheetData>
    <row r="1" spans="1:4" x14ac:dyDescent="0.2">
      <c r="A1" s="22" t="s">
        <v>109</v>
      </c>
      <c r="B1" s="22" t="s">
        <v>106</v>
      </c>
      <c r="C1" s="22" t="s">
        <v>107</v>
      </c>
      <c r="D1" s="22" t="s">
        <v>125</v>
      </c>
    </row>
    <row r="2" spans="1:4" x14ac:dyDescent="0.2">
      <c r="A2" s="21" t="s">
        <v>110</v>
      </c>
      <c r="B2">
        <f>SUMIF(Feuil3!B$2:B200,Feuil4!$A2,Feuil3!E$2:E200)</f>
        <v>1207.4000000000001</v>
      </c>
      <c r="C2">
        <f>SUMIF(Feuil3!C$2:C200,Feuil4!$A2,Feuil3!F$2:F200)</f>
        <v>0</v>
      </c>
      <c r="D2">
        <f>B2-C2</f>
        <v>1207.4000000000001</v>
      </c>
    </row>
    <row r="3" spans="1:4" x14ac:dyDescent="0.2">
      <c r="A3" s="21" t="s">
        <v>28</v>
      </c>
      <c r="B3">
        <f>SUMIF(Feuil3!B$2:B201,Feuil4!A3,Feuil3!E$2:E201)</f>
        <v>9880</v>
      </c>
      <c r="C3">
        <f>SUMIF(Feuil3!C$2:C201,Feuil4!$A3,Feuil3!F$2:F201)</f>
        <v>0</v>
      </c>
      <c r="D3">
        <f t="shared" ref="D3:D40" si="0">B3-C3</f>
        <v>9880</v>
      </c>
    </row>
    <row r="4" spans="1:4" x14ac:dyDescent="0.2">
      <c r="A4" s="21" t="s">
        <v>1</v>
      </c>
      <c r="B4">
        <f>SUMIF(Feuil3!B$2:B202,Feuil4!A4,Feuil3!E$2:E202)</f>
        <v>28138</v>
      </c>
      <c r="C4">
        <f>SUMIF(Feuil3!C$2:C202,Feuil4!$A4,Feuil3!F$2:F202)</f>
        <v>15306</v>
      </c>
      <c r="D4">
        <f t="shared" si="0"/>
        <v>12832</v>
      </c>
    </row>
    <row r="5" spans="1:4" x14ac:dyDescent="0.2">
      <c r="A5" s="21" t="s">
        <v>0</v>
      </c>
      <c r="B5">
        <f>SUMIF(Feuil3!B$2:B203,Feuil4!A5,Feuil3!E$2:E203)</f>
        <v>4172</v>
      </c>
      <c r="C5">
        <f>SUMIF(Feuil3!C$2:C203,Feuil4!$A5,Feuil3!F$2:F203)</f>
        <v>3475.4</v>
      </c>
      <c r="D5">
        <f t="shared" si="0"/>
        <v>696.59999999999991</v>
      </c>
    </row>
    <row r="6" spans="1:4" x14ac:dyDescent="0.2">
      <c r="A6" s="21" t="s">
        <v>16</v>
      </c>
      <c r="B6">
        <f>SUMIF(Feuil3!B$2:B204,Feuil4!A6,Feuil3!E$2:E204)</f>
        <v>10000</v>
      </c>
      <c r="C6">
        <f>SUMIF(Feuil3!C$2:C204,Feuil4!$A6,Feuil3!F$2:F204)</f>
        <v>314340</v>
      </c>
      <c r="D6">
        <f t="shared" si="0"/>
        <v>-304340</v>
      </c>
    </row>
    <row r="7" spans="1:4" x14ac:dyDescent="0.2">
      <c r="A7" s="21" t="s">
        <v>118</v>
      </c>
      <c r="B7">
        <f>SUMIF(Feuil3!B$2:B205,Feuil4!A7,Feuil3!E$2:E205)</f>
        <v>0</v>
      </c>
      <c r="C7">
        <f>SUMIF(Feuil3!C$2:C205,Feuil4!$A7,Feuil3!F$2:F205)</f>
        <v>0</v>
      </c>
      <c r="D7">
        <f t="shared" si="0"/>
        <v>0</v>
      </c>
    </row>
    <row r="8" spans="1:4" x14ac:dyDescent="0.2">
      <c r="A8" s="21" t="s">
        <v>30</v>
      </c>
      <c r="B8">
        <f>SUMIF(Feuil3!B$2:B206,Feuil4!A8,Feuil3!E$2:E206)</f>
        <v>3593.4</v>
      </c>
      <c r="C8">
        <f>SUMIF(Feuil3!C$2:C206,Feuil4!$A8,Feuil3!F$2:F206)</f>
        <v>0</v>
      </c>
      <c r="D8">
        <f t="shared" si="0"/>
        <v>3593.4</v>
      </c>
    </row>
    <row r="9" spans="1:4" x14ac:dyDescent="0.2">
      <c r="A9" s="21" t="s">
        <v>111</v>
      </c>
      <c r="B9">
        <f>SUMIF(Feuil3!B$2:B207,Feuil4!A9,Feuil3!E$2:E207)</f>
        <v>14052</v>
      </c>
      <c r="C9">
        <f>SUMIF(Feuil3!C$2:C207,Feuil4!$A9,Feuil3!F$2:F207)</f>
        <v>0</v>
      </c>
      <c r="D9">
        <f t="shared" si="0"/>
        <v>14052</v>
      </c>
    </row>
    <row r="10" spans="1:4" x14ac:dyDescent="0.2">
      <c r="A10" s="21" t="s">
        <v>14</v>
      </c>
      <c r="B10">
        <f>SUMIF(Feuil3!B$2:B208,Feuil4!A10,Feuil3!E$2:E208)</f>
        <v>2848</v>
      </c>
      <c r="C10">
        <f>SUMIF(Feuil3!C$2:C208,Feuil4!$A10,Feuil3!F$2:F208)</f>
        <v>5496</v>
      </c>
      <c r="D10">
        <f t="shared" si="0"/>
        <v>-2648</v>
      </c>
    </row>
    <row r="11" spans="1:4" x14ac:dyDescent="0.2">
      <c r="A11" s="21" t="s">
        <v>120</v>
      </c>
      <c r="B11">
        <f>SUMIF(Feuil3!B$2:B209,Feuil4!A11,Feuil3!E$2:E209)</f>
        <v>0</v>
      </c>
      <c r="C11">
        <f>SUMIF(Feuil3!C$2:C209,Feuil4!$A11,Feuil3!F$2:F209)</f>
        <v>6400</v>
      </c>
      <c r="D11">
        <f t="shared" si="0"/>
        <v>-6400</v>
      </c>
    </row>
    <row r="12" spans="1:4" x14ac:dyDescent="0.2">
      <c r="A12" s="21" t="s">
        <v>3</v>
      </c>
      <c r="B12">
        <f>SUMIF(Feuil3!B$2:B210,Feuil4!A12,Feuil3!E$2:E210)</f>
        <v>55200</v>
      </c>
      <c r="C12">
        <f>SUMIF(Feuil3!C$2:C210,Feuil4!$A12,Feuil3!F$2:F210)</f>
        <v>45200</v>
      </c>
      <c r="D12">
        <f t="shared" si="0"/>
        <v>10000</v>
      </c>
    </row>
    <row r="13" spans="1:4" x14ac:dyDescent="0.2">
      <c r="A13" s="21" t="s">
        <v>13</v>
      </c>
      <c r="B13">
        <f>SUMIF(Feuil3!B$2:B211,Feuil4!A13,Feuil3!E$2:E211)</f>
        <v>1553.2</v>
      </c>
      <c r="C13">
        <f>SUMIF(Feuil3!C$2:C211,Feuil4!$A13,Feuil3!F$2:F211)</f>
        <v>4259.8500000000004</v>
      </c>
      <c r="D13">
        <f t="shared" si="0"/>
        <v>-2706.6500000000005</v>
      </c>
    </row>
    <row r="14" spans="1:4" x14ac:dyDescent="0.2">
      <c r="A14" s="21" t="s">
        <v>15</v>
      </c>
      <c r="B14">
        <f>SUMIF(Feuil3!B$2:B212,Feuil4!A14,Feuil3!E$2:E212)</f>
        <v>40000</v>
      </c>
      <c r="C14">
        <f>SUMIF(Feuil3!C$2:C212,Feuil4!$A14,Feuil3!F$2:F212)</f>
        <v>400000</v>
      </c>
      <c r="D14">
        <f t="shared" si="0"/>
        <v>-360000</v>
      </c>
    </row>
    <row r="15" spans="1:4" x14ac:dyDescent="0.2">
      <c r="A15" s="21" t="s">
        <v>20</v>
      </c>
      <c r="B15">
        <f>SUMIF(Feuil3!B$2:B213,Feuil4!A15,Feuil3!E$2:E213)</f>
        <v>100</v>
      </c>
      <c r="C15">
        <f>SUMIF(Feuil3!C$2:C213,Feuil4!$A15,Feuil3!F$2:F213)</f>
        <v>600</v>
      </c>
      <c r="D15">
        <f t="shared" si="0"/>
        <v>-500</v>
      </c>
    </row>
    <row r="16" spans="1:4" x14ac:dyDescent="0.2">
      <c r="A16" s="21" t="s">
        <v>112</v>
      </c>
      <c r="B16">
        <f>SUMIF(Feuil3!B$2:B214,Feuil4!A16,Feuil3!E$2:E214)</f>
        <v>0</v>
      </c>
      <c r="C16">
        <f>SUMIF(Feuil3!C$2:C214,Feuil4!$A16,Feuil3!F$2:F214)</f>
        <v>0</v>
      </c>
      <c r="D16">
        <f t="shared" si="0"/>
        <v>0</v>
      </c>
    </row>
    <row r="17" spans="1:4" x14ac:dyDescent="0.2">
      <c r="A17" s="21" t="s">
        <v>21</v>
      </c>
      <c r="B17">
        <f>SUMIF(Feuil3!B$2:B215,Feuil4!A17,Feuil3!E$2:E215)</f>
        <v>3462</v>
      </c>
      <c r="C17">
        <f>SUMIF(Feuil3!C$2:C215,Feuil4!$A17,Feuil3!F$2:F215)</f>
        <v>340</v>
      </c>
      <c r="D17">
        <f t="shared" si="0"/>
        <v>3122</v>
      </c>
    </row>
    <row r="18" spans="1:4" x14ac:dyDescent="0.2">
      <c r="A18" s="21" t="s">
        <v>22</v>
      </c>
      <c r="B18">
        <f>SUMIF(Feuil3!B$2:B216,Feuil4!A18,Feuil3!E$2:E216)</f>
        <v>588000</v>
      </c>
      <c r="C18">
        <f>SUMIF(Feuil3!C$2:C216,Feuil4!$A18,Feuil3!F$2:F216)</f>
        <v>12000</v>
      </c>
      <c r="D18">
        <f t="shared" si="0"/>
        <v>576000</v>
      </c>
    </row>
    <row r="19" spans="1:4" x14ac:dyDescent="0.2">
      <c r="A19" s="21" t="s">
        <v>6</v>
      </c>
      <c r="B19">
        <f>SUMIF(Feuil3!B$2:B217,Feuil4!A19,Feuil3!E$2:E217)</f>
        <v>28400</v>
      </c>
      <c r="C19">
        <f>SUMIF(Feuil3!C$2:C217,Feuil4!$A19,Feuil3!F$2:F217)</f>
        <v>6680</v>
      </c>
      <c r="D19">
        <f t="shared" si="0"/>
        <v>21720</v>
      </c>
    </row>
    <row r="20" spans="1:4" x14ac:dyDescent="0.2">
      <c r="A20" s="21" t="s">
        <v>32</v>
      </c>
      <c r="B20">
        <f>SUMIF(Feuil3!B$2:B218,Feuil4!A20,Feuil3!E$2:E218)</f>
        <v>1851.85</v>
      </c>
      <c r="C20">
        <f>SUMIF(Feuil3!C$2:C218,Feuil4!$A20,Feuil3!F$2:F218)</f>
        <v>100</v>
      </c>
      <c r="D20">
        <f t="shared" si="0"/>
        <v>1751.85</v>
      </c>
    </row>
    <row r="21" spans="1:4" x14ac:dyDescent="0.2">
      <c r="A21" s="21" t="s">
        <v>2</v>
      </c>
      <c r="B21">
        <f>SUMIF(Feuil3!B$2:B219,Feuil4!A21,Feuil3!E$2:E219)</f>
        <v>47336</v>
      </c>
      <c r="C21">
        <f>SUMIF(Feuil3!C$2:C219,Feuil4!$A21,Feuil3!F$2:F219)</f>
        <v>2848</v>
      </c>
      <c r="D21">
        <f t="shared" si="0"/>
        <v>44488</v>
      </c>
    </row>
    <row r="22" spans="1:4" x14ac:dyDescent="0.2">
      <c r="A22" s="21" t="s">
        <v>42</v>
      </c>
      <c r="B22">
        <f>SUMIF(Feuil3!B$2:B220,Feuil4!A22,Feuil3!E$2:E220)</f>
        <v>30479.45</v>
      </c>
      <c r="C22">
        <f>SUMIF(Feuil3!C$2:C220,Feuil4!$A22,Feuil3!F$2:F220)</f>
        <v>62743.4</v>
      </c>
      <c r="D22">
        <f t="shared" si="0"/>
        <v>-32263.95</v>
      </c>
    </row>
    <row r="23" spans="1:4" x14ac:dyDescent="0.2">
      <c r="A23" s="21" t="s">
        <v>113</v>
      </c>
      <c r="B23">
        <f>SUMIF(Feuil3!B$2:B221,Feuil4!A23,Feuil3!E$2:E221)</f>
        <v>0</v>
      </c>
      <c r="C23">
        <f>SUMIF(Feuil3!C$2:C221,Feuil4!$A23,Feuil3!F$2:F221)</f>
        <v>10000</v>
      </c>
      <c r="D23">
        <f t="shared" si="0"/>
        <v>-10000</v>
      </c>
    </row>
    <row r="24" spans="1:4" x14ac:dyDescent="0.2">
      <c r="A24" s="21" t="s">
        <v>119</v>
      </c>
      <c r="B24">
        <f>SUMIF(Feuil3!B$2:B222,Feuil4!A24,Feuil3!E$2:E222)</f>
        <v>0</v>
      </c>
      <c r="C24">
        <f>SUMIF(Feuil3!C$2:C222,Feuil4!$A24,Feuil3!F$2:F222)</f>
        <v>8700</v>
      </c>
      <c r="D24">
        <f t="shared" si="0"/>
        <v>-8700</v>
      </c>
    </row>
    <row r="25" spans="1:4" x14ac:dyDescent="0.2">
      <c r="A25" s="21" t="s">
        <v>35</v>
      </c>
      <c r="B25">
        <f>SUMIF(Feuil3!B$2:B223,Feuil4!A25,Feuil3!E$2:E223)</f>
        <v>0</v>
      </c>
      <c r="C25">
        <f>SUMIF(Feuil3!C$2:C223,Feuil4!$A25,Feuil3!F$2:F223)</f>
        <v>405.2</v>
      </c>
      <c r="D25">
        <f t="shared" si="0"/>
        <v>-405.2</v>
      </c>
    </row>
    <row r="26" spans="1:4" x14ac:dyDescent="0.2">
      <c r="A26" s="21" t="s">
        <v>100</v>
      </c>
      <c r="B26">
        <f>SUMIF(Feuil3!B$2:B224,Feuil4!A26,Feuil3!E$2:E224)</f>
        <v>0</v>
      </c>
      <c r="C26">
        <f>SUMIF(Feuil3!C$2:C224,Feuil4!$A26,Feuil3!F$2:F224)</f>
        <v>30479.45</v>
      </c>
      <c r="D26">
        <f t="shared" ref="D26" si="1">B26-C26</f>
        <v>-30479.45</v>
      </c>
    </row>
    <row r="27" spans="1:4" x14ac:dyDescent="0.2">
      <c r="A27" s="21" t="s">
        <v>114</v>
      </c>
      <c r="B27">
        <f>SUMIF(Feuil3!B$2:B224,Feuil4!A27,Feuil3!E$2:E224)</f>
        <v>100</v>
      </c>
      <c r="C27">
        <f>SUMIF(Feuil3!C$2:C224,Feuil4!$A27,Feuil3!F$2:F224)</f>
        <v>0</v>
      </c>
      <c r="D27">
        <f t="shared" si="0"/>
        <v>100</v>
      </c>
    </row>
    <row r="28" spans="1:4" x14ac:dyDescent="0.2">
      <c r="A28" s="21" t="s">
        <v>115</v>
      </c>
      <c r="B28">
        <f>SUMIF(Feuil3!B$2:B225,Feuil4!A28,Feuil3!E$2:E225)</f>
        <v>0</v>
      </c>
      <c r="C28">
        <f>SUMIF(Feuil3!C$2:C225,Feuil4!$A28,Feuil3!F$2:F225)</f>
        <v>0</v>
      </c>
      <c r="D28">
        <f t="shared" si="0"/>
        <v>0</v>
      </c>
    </row>
    <row r="29" spans="1:4" x14ac:dyDescent="0.2">
      <c r="A29" s="21" t="s">
        <v>38</v>
      </c>
      <c r="B29">
        <f>SUMIF(Feuil3!B$2:B226,Feuil4!A29,Feuil3!E$2:E226)</f>
        <v>61000</v>
      </c>
      <c r="C29">
        <f>SUMIF(Feuil3!C$2:C226,Feuil4!$A29,Feuil3!F$2:F226)</f>
        <v>0</v>
      </c>
      <c r="D29">
        <f t="shared" si="0"/>
        <v>61000</v>
      </c>
    </row>
    <row r="30" spans="1:4" x14ac:dyDescent="0.2">
      <c r="A30" s="21" t="s">
        <v>121</v>
      </c>
      <c r="B30">
        <f>SUMIF(Feuil3!B$2:B227,Feuil4!A30,Feuil3!E$2:E227)</f>
        <v>2000</v>
      </c>
      <c r="C30">
        <f>SUMIF(Feuil3!C$2:C227,Feuil4!$A30,Feuil3!F$2:F227)</f>
        <v>0</v>
      </c>
      <c r="D30">
        <f t="shared" si="0"/>
        <v>2000</v>
      </c>
    </row>
    <row r="31" spans="1:4" x14ac:dyDescent="0.2">
      <c r="A31" s="21" t="s">
        <v>39</v>
      </c>
      <c r="B31">
        <f>SUMIF(Feuil3!B$2:B228,Feuil4!A31,Feuil3!E$2:E228)</f>
        <v>0</v>
      </c>
      <c r="C31">
        <f>SUMIF(Feuil3!C$2:C228,Feuil4!$A31,Feuil3!F$2:F228)</f>
        <v>0</v>
      </c>
      <c r="D31">
        <f t="shared" si="0"/>
        <v>0</v>
      </c>
    </row>
    <row r="32" spans="1:4" x14ac:dyDescent="0.2">
      <c r="A32" s="21" t="s">
        <v>24</v>
      </c>
      <c r="B32">
        <f>SUMIF(Feuil3!B$2:B229,Feuil4!A32,Feuil3!E$2:E229)</f>
        <v>6000</v>
      </c>
      <c r="C32">
        <f>SUMIF(Feuil3!C$2:C229,Feuil4!$A32,Feuil3!F$2:F229)</f>
        <v>0</v>
      </c>
      <c r="D32">
        <f t="shared" si="0"/>
        <v>6000</v>
      </c>
    </row>
    <row r="33" spans="1:4" x14ac:dyDescent="0.2">
      <c r="A33" s="21" t="s">
        <v>122</v>
      </c>
      <c r="B33">
        <f>SUMIF(Feuil3!B$2:B230,Feuil4!A33,Feuil3!E$2:E230)</f>
        <v>272</v>
      </c>
      <c r="C33">
        <f>SUMIF(Feuil3!C$2:C230,Feuil4!$A33,Feuil3!F$2:F230)</f>
        <v>272</v>
      </c>
      <c r="D33">
        <f t="shared" si="0"/>
        <v>0</v>
      </c>
    </row>
    <row r="34" spans="1:4" x14ac:dyDescent="0.2">
      <c r="A34" s="21" t="s">
        <v>123</v>
      </c>
      <c r="B34">
        <f>SUMIF(Feuil3!B$2:B231,Feuil4!A34,Feuil3!E$2:E231)</f>
        <v>96</v>
      </c>
      <c r="C34">
        <f>SUMIF(Feuil3!C$2:C231,Feuil4!$A34,Feuil3!F$2:F231)</f>
        <v>96</v>
      </c>
      <c r="D34">
        <f t="shared" si="0"/>
        <v>0</v>
      </c>
    </row>
    <row r="35" spans="1:4" x14ac:dyDescent="0.2">
      <c r="A35" s="21" t="s">
        <v>12</v>
      </c>
      <c r="B35">
        <f>SUMIF(Feuil3!B$2:B232,Feuil4!A35,Feuil3!E$2:E232)</f>
        <v>3280</v>
      </c>
      <c r="C35">
        <f>SUMIF(Feuil3!C$2:C232,Feuil4!$A35,Feuil3!F$2:F232)</f>
        <v>3280</v>
      </c>
      <c r="D35">
        <f t="shared" si="0"/>
        <v>0</v>
      </c>
    </row>
    <row r="36" spans="1:4" x14ac:dyDescent="0.2">
      <c r="A36" s="21" t="s">
        <v>116</v>
      </c>
      <c r="B36">
        <f>SUMIF(Feuil3!B$2:B233,Feuil4!A36,Feuil3!E$2:E233)</f>
        <v>0</v>
      </c>
      <c r="C36">
        <f>SUMIF(Feuil3!C$2:C233,Feuil4!$A36,Feuil3!F$2:F233)</f>
        <v>1000</v>
      </c>
      <c r="D36">
        <f t="shared" si="0"/>
        <v>-1000</v>
      </c>
    </row>
    <row r="37" spans="1:4" x14ac:dyDescent="0.2">
      <c r="A37" s="21" t="s">
        <v>5</v>
      </c>
      <c r="B37">
        <f>SUMIF(Feuil3!B$2:B234,Feuil4!A37,Feuil3!E$2:E234)</f>
        <v>32000</v>
      </c>
      <c r="C37">
        <f>SUMIF(Feuil3!C$2:C234,Feuil4!$A37,Feuil3!F$2:F234)</f>
        <v>0</v>
      </c>
      <c r="D37">
        <f t="shared" si="0"/>
        <v>32000</v>
      </c>
    </row>
    <row r="38" spans="1:4" x14ac:dyDescent="0.2">
      <c r="A38" s="21" t="s">
        <v>117</v>
      </c>
      <c r="B38">
        <f>SUMIF(Feuil3!B$2:B235,Feuil4!A38,Feuil3!E$2:E235)</f>
        <v>0</v>
      </c>
      <c r="C38">
        <f>SUMIF(Feuil3!C$2:C235,Feuil4!$A38,Feuil3!F$2:F235)</f>
        <v>41000</v>
      </c>
      <c r="D38">
        <f t="shared" si="0"/>
        <v>-41000</v>
      </c>
    </row>
    <row r="39" spans="1:4" x14ac:dyDescent="0.2">
      <c r="A39" s="21" t="s">
        <v>124</v>
      </c>
      <c r="B39">
        <f>SUMIF(Feuil3!B$2:B236,Feuil4!A39,Feuil3!E$2:E236)</f>
        <v>0</v>
      </c>
      <c r="C39">
        <f>SUMIF(Feuil3!C$2:C236,Feuil4!$A39,Feuil3!F$2:F236)</f>
        <v>0</v>
      </c>
      <c r="D39">
        <f t="shared" si="0"/>
        <v>0</v>
      </c>
    </row>
    <row r="40" spans="1:4" x14ac:dyDescent="0.2">
      <c r="B40">
        <f>SUM(B2:B39)</f>
        <v>975021.29999999993</v>
      </c>
      <c r="C40">
        <f>SUM(C2:C39)</f>
        <v>975021.29999999993</v>
      </c>
      <c r="D40">
        <f t="shared" si="0"/>
        <v>0</v>
      </c>
    </row>
  </sheetData>
  <sortState ref="A2:A37">
    <sortCondition ref="A2:A37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cp:lastPrinted>2017-06-26T09:14:02Z</cp:lastPrinted>
  <dcterms:created xsi:type="dcterms:W3CDTF">2017-06-26T04:35:06Z</dcterms:created>
  <dcterms:modified xsi:type="dcterms:W3CDTF">2017-06-26T10:54:14Z</dcterms:modified>
</cp:coreProperties>
</file>