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2"/>
  <workbookPr showInkAnnotation="0" autoCompressPictures="0"/>
  <xr:revisionPtr revIDLastSave="0" documentId="11_4123A781DECBD6410F34FC6DBCA25C756EF04D49" xr6:coauthVersionLast="46" xr6:coauthVersionMax="46" xr10:uidLastSave="{00000000-0000-0000-0000-000000000000}"/>
  <bookViews>
    <workbookView xWindow="25545" yWindow="465" windowWidth="23445" windowHeight="16440" tabRatio="500" xr2:uid="{00000000-000D-0000-FFFF-FFFF00000000}"/>
  </bookViews>
  <sheets>
    <sheet name="Feuil1" sheetId="1" r:id="rId1"/>
  </sheets>
  <calcPr calcId="191028" calcCompleted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31" i="1" l="1"/>
  <c r="E130" i="1"/>
  <c r="E48" i="1"/>
  <c r="E47" i="1"/>
  <c r="F127" i="1"/>
  <c r="E128" i="1"/>
  <c r="F106" i="1"/>
  <c r="E109" i="1"/>
  <c r="F110" i="1"/>
  <c r="E111" i="1"/>
  <c r="E112" i="1"/>
  <c r="E113" i="1"/>
  <c r="E107" i="1"/>
  <c r="E108" i="1"/>
  <c r="E101" i="1"/>
  <c r="F103" i="1"/>
  <c r="F104" i="1"/>
  <c r="E33" i="1"/>
  <c r="E34" i="1"/>
  <c r="E86" i="1"/>
  <c r="E87" i="1"/>
  <c r="F88" i="1"/>
  <c r="F89" i="1"/>
  <c r="F90" i="1"/>
  <c r="F91" i="1"/>
  <c r="E26" i="1"/>
  <c r="F27" i="1"/>
  <c r="F82" i="1"/>
  <c r="E19" i="1"/>
  <c r="E21" i="1"/>
  <c r="E80" i="1"/>
  <c r="F85" i="1"/>
  <c r="F22" i="1"/>
  <c r="E60" i="1"/>
  <c r="F58" i="1"/>
  <c r="E16" i="1"/>
  <c r="F5" i="1"/>
  <c r="F54" i="1"/>
  <c r="E54" i="1"/>
  <c r="F53" i="1"/>
  <c r="F136" i="1"/>
  <c r="F137" i="1"/>
  <c r="E137" i="1"/>
  <c r="E118" i="1"/>
  <c r="F35" i="1"/>
  <c r="F13" i="1"/>
  <c r="F14" i="1"/>
  <c r="E28" i="1"/>
  <c r="F95" i="1"/>
  <c r="F29" i="1"/>
  <c r="F97" i="1"/>
  <c r="F30" i="1"/>
  <c r="E94" i="1"/>
  <c r="E31" i="1"/>
  <c r="F32" i="1"/>
  <c r="F92" i="1"/>
  <c r="E6" i="1"/>
  <c r="F15" i="1"/>
  <c r="F72" i="1"/>
  <c r="F73" i="1"/>
  <c r="F74" i="1"/>
  <c r="E61" i="1"/>
</calcChain>
</file>

<file path=xl/sharedStrings.xml><?xml version="1.0" encoding="utf-8"?>
<sst xmlns="http://schemas.openxmlformats.org/spreadsheetml/2006/main" count="459" uniqueCount="94">
  <si>
    <t>ETAG - tentative de correction "version courte" / temps estimé : 1h15</t>
  </si>
  <si>
    <t>n°</t>
  </si>
  <si>
    <t>Débit</t>
  </si>
  <si>
    <t>Crédit</t>
  </si>
  <si>
    <t>Libellé</t>
  </si>
  <si>
    <t>-</t>
  </si>
  <si>
    <t>Honoraires</t>
  </si>
  <si>
    <t>chambres d'hôtel</t>
  </si>
  <si>
    <t>RR Accordés</t>
  </si>
  <si>
    <t>TVA due</t>
  </si>
  <si>
    <t>4000 x 3.7%</t>
  </si>
  <si>
    <t>C. Clients</t>
  </si>
  <si>
    <t>Vente M.</t>
  </si>
  <si>
    <t>Ch. Fin.</t>
  </si>
  <si>
    <t>Caisse</t>
  </si>
  <si>
    <t>Primes d'assurances</t>
  </si>
  <si>
    <t>3000 x 99%</t>
  </si>
  <si>
    <t>Produits financiers</t>
  </si>
  <si>
    <t>2970 x 4%</t>
  </si>
  <si>
    <t>Banque</t>
  </si>
  <si>
    <t>Ch. Financières</t>
  </si>
  <si>
    <t>4148 x 1.5% / 103.7 x 100</t>
  </si>
  <si>
    <t>4148 x 1.5% / 103.7 x 3.7</t>
  </si>
  <si>
    <t>Poste</t>
  </si>
  <si>
    <t>4148 x 98.5%</t>
  </si>
  <si>
    <t>Frais de représentation</t>
  </si>
  <si>
    <t>32500 - (1686.75/1.037)</t>
  </si>
  <si>
    <t>TVA r. s. inv. Et ACE</t>
  </si>
  <si>
    <t>(30087.40 - 308.75 ) x 3.7%</t>
  </si>
  <si>
    <t>Achats March.</t>
  </si>
  <si>
    <t>RR Obtenus</t>
  </si>
  <si>
    <t>TVA r. s. march</t>
  </si>
  <si>
    <t>190 - 9.5</t>
  </si>
  <si>
    <t>180.5 * 3.7%</t>
  </si>
  <si>
    <t>Autres dettes</t>
  </si>
  <si>
    <t>C. clients</t>
  </si>
  <si>
    <t>422 x 1.077 x .80</t>
  </si>
  <si>
    <t>363.60 x 4 % / 107.7 x 100</t>
  </si>
  <si>
    <t>363.60 x 4 % / 107.7 x 7.7</t>
  </si>
  <si>
    <t>1764 = 98%, x = 100%</t>
  </si>
  <si>
    <t>1764 = 98%, x = 2%</t>
  </si>
  <si>
    <t>10000 x 1.077% /4</t>
  </si>
  <si>
    <t>10000 x 7.7% / 4</t>
  </si>
  <si>
    <t>Produits exceptionnels</t>
  </si>
  <si>
    <t>10'000  / 4</t>
  </si>
  <si>
    <t xml:space="preserve">pas d'escompte, on est trop tard. </t>
  </si>
  <si>
    <t>28404 x 12 % / 107.7 x 100</t>
  </si>
  <si>
    <t>28404 x 12 % / 107.7 x 7.7</t>
  </si>
  <si>
    <t>28404 x 12 %</t>
  </si>
  <si>
    <t>23.15 = 5%, x = 100%</t>
  </si>
  <si>
    <t>rr Obtenus</t>
  </si>
  <si>
    <t>(463 - 23.15 ) x 2%</t>
  </si>
  <si>
    <t>c.clients</t>
  </si>
  <si>
    <t>28404 - 3408.50</t>
  </si>
  <si>
    <t>ETAG - tentative de correction "version longue" / temps estimé : 1h15</t>
  </si>
  <si>
    <t>Créances clients</t>
  </si>
  <si>
    <t>Primes d'assurance</t>
  </si>
  <si>
    <t>3000 x 1%</t>
  </si>
  <si>
    <t>32500 x 3.7%</t>
  </si>
  <si>
    <t>1686.75 = 103.7%, x = 100%</t>
  </si>
  <si>
    <t>1626.60 x 3.7%</t>
  </si>
  <si>
    <t>(32500-1626.60) x 1%</t>
  </si>
  <si>
    <t>308.75 x 3.7%</t>
  </si>
  <si>
    <t>TVA r. s. march.</t>
  </si>
  <si>
    <t>TVA r.s. march.</t>
  </si>
  <si>
    <t>3870 x 7.7%</t>
  </si>
  <si>
    <t>438.6 x 7.7%</t>
  </si>
  <si>
    <t>395 = 2%, x = 100%</t>
  </si>
  <si>
    <t>15800 x 2.5%</t>
  </si>
  <si>
    <t>donné dans l'énoncé</t>
  </si>
  <si>
    <t>395 x 2.5%</t>
  </si>
  <si>
    <t>(15800 - 395)x2/100</t>
  </si>
  <si>
    <t>268.60 * 2.5.%</t>
  </si>
  <si>
    <t>190 x 3.7%</t>
  </si>
  <si>
    <t>9.5 x 3.7%</t>
  </si>
  <si>
    <t>197.05 - 9.85</t>
  </si>
  <si>
    <t>(ventes march)</t>
  </si>
  <si>
    <t>pour info, déjà fait, ne pas refaire</t>
  </si>
  <si>
    <t>(tva due)</t>
  </si>
  <si>
    <t>422 x 7.7%</t>
  </si>
  <si>
    <t>(rr accordés)</t>
  </si>
  <si>
    <t>422 x 20 %</t>
  </si>
  <si>
    <t>84.4 x 7.7%</t>
  </si>
  <si>
    <t>(c.clients)</t>
  </si>
  <si>
    <t>la les choses sérieuses commencent</t>
  </si>
  <si>
    <t>ch. financières</t>
  </si>
  <si>
    <t>2000 x 10%</t>
  </si>
  <si>
    <t>ch. Financières</t>
  </si>
  <si>
    <t>1800 x 2%</t>
  </si>
  <si>
    <t>banque</t>
  </si>
  <si>
    <t>la vente, avec la tva</t>
  </si>
  <si>
    <t>(pertes sur clients)</t>
  </si>
  <si>
    <t>la faillite et la déduction de la TVA</t>
  </si>
  <si>
    <t>prod. Except.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</si>
</sst>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_C_H_F_ ;_ * \(#,##0.00\)\ _C_H_F_ ;_ * &quot;-&quot;??_)\ _C_H_F_ ;_ @_ "/>
  </numFmts>
  <fonts count="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color theme="1"/>
      <name val="Helvetica"/>
      <family val="2"/>
    </font>
    <font>
      <sz val="10"/>
      <color theme="1"/>
      <name val="Helvetica"/>
      <family val="2"/>
    </font>
    <font>
      <sz val="10"/>
      <name val="Helvetica"/>
      <family val="2"/>
    </font>
    <font>
      <b/>
      <u/>
      <sz val="10"/>
      <color theme="1"/>
      <name val="Helvetica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5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2" fontId="5" fillId="0" borderId="1" xfId="3" applyNumberFormat="1" applyFont="1" applyBorder="1" applyAlignment="1">
      <alignment wrapText="1"/>
    </xf>
    <xf numFmtId="2" fontId="6" fillId="0" borderId="1" xfId="3" applyNumberFormat="1" applyFont="1" applyBorder="1" applyAlignment="1">
      <alignment wrapText="1"/>
    </xf>
    <xf numFmtId="2" fontId="5" fillId="0" borderId="0" xfId="3" applyNumberFormat="1" applyFont="1" applyAlignment="1">
      <alignment wrapText="1"/>
    </xf>
    <xf numFmtId="0" fontId="5" fillId="0" borderId="4" xfId="0" applyFont="1" applyBorder="1" applyAlignment="1">
      <alignment wrapText="1"/>
    </xf>
    <xf numFmtId="2" fontId="5" fillId="0" borderId="4" xfId="3" applyNumberFormat="1" applyFont="1" applyBorder="1" applyAlignment="1">
      <alignment wrapText="1"/>
    </xf>
    <xf numFmtId="2" fontId="5" fillId="0" borderId="0" xfId="0" applyNumberFormat="1" applyFont="1" applyAlignment="1">
      <alignment wrapText="1"/>
    </xf>
    <xf numFmtId="0" fontId="4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4" fillId="0" borderId="3" xfId="0" applyFont="1" applyBorder="1" applyAlignment="1">
      <alignment wrapText="1"/>
    </xf>
    <xf numFmtId="0" fontId="0" fillId="0" borderId="3" xfId="0" applyBorder="1" applyAlignment="1">
      <alignment wrapText="1"/>
    </xf>
  </cellXfs>
  <cellStyles count="4">
    <cellStyle name="Lien hypertexte" xfId="1" builtinId="8" hidden="1"/>
    <cellStyle name="Lien hypertexte visité" xfId="2" builtinId="9" hidden="1"/>
    <cellStyle name="Milliers" xfId="3" builtinId="3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7"/>
  <sheetViews>
    <sheetView tabSelected="1" zoomScale="235" zoomScaleNormal="235" workbookViewId="0">
      <pane xSplit="1" ySplit="29430" topLeftCell="A129" activePane="bottomRight"/>
      <selection pane="bottomRight" activeCell="E140" sqref="E140"/>
      <selection pane="bottomLeft" activeCell="A142" activeCellId="2" sqref="A138:XFD138 A140:XFD140 A142:XFD142"/>
      <selection pane="topRight" activeCell="E6" sqref="E6"/>
    </sheetView>
  </sheetViews>
  <sheetFormatPr defaultColWidth="10.875" defaultRowHeight="12.75"/>
  <cols>
    <col min="1" max="1" width="3" style="1" bestFit="1" customWidth="1"/>
    <col min="2" max="3" width="12.875" style="1" customWidth="1"/>
    <col min="4" max="4" width="29" style="1" customWidth="1"/>
    <col min="5" max="6" width="11" style="6" customWidth="1"/>
    <col min="7" max="16384" width="10.875" style="1"/>
  </cols>
  <sheetData>
    <row r="1" spans="1:6" ht="15.75">
      <c r="A1" s="10" t="s">
        <v>0</v>
      </c>
      <c r="B1" s="11"/>
      <c r="C1" s="11"/>
      <c r="D1" s="11"/>
      <c r="E1" s="11"/>
      <c r="F1" s="11"/>
    </row>
    <row r="2" spans="1:6">
      <c r="A2" s="2" t="s">
        <v>1</v>
      </c>
      <c r="B2" s="2" t="s">
        <v>2</v>
      </c>
      <c r="C2" s="2" t="s">
        <v>3</v>
      </c>
      <c r="D2" s="2" t="s">
        <v>4</v>
      </c>
      <c r="E2" s="4" t="s">
        <v>2</v>
      </c>
      <c r="F2" s="4" t="s">
        <v>3</v>
      </c>
    </row>
    <row r="3" spans="1:6">
      <c r="A3" s="2">
        <v>1</v>
      </c>
      <c r="B3" s="2" t="s">
        <v>5</v>
      </c>
      <c r="C3" s="2" t="s">
        <v>6</v>
      </c>
      <c r="D3" s="2" t="s">
        <v>7</v>
      </c>
      <c r="E3" s="4" t="s">
        <v>5</v>
      </c>
      <c r="F3" s="4">
        <v>5000</v>
      </c>
    </row>
    <row r="4" spans="1:6">
      <c r="A4" s="2"/>
      <c r="B4" s="2" t="s">
        <v>8</v>
      </c>
      <c r="C4" s="2"/>
      <c r="D4" s="2"/>
      <c r="E4" s="4">
        <v>1000</v>
      </c>
      <c r="F4" s="4" t="s">
        <v>5</v>
      </c>
    </row>
    <row r="5" spans="1:6">
      <c r="A5" s="2"/>
      <c r="B5" s="2" t="s">
        <v>5</v>
      </c>
      <c r="C5" s="2" t="s">
        <v>9</v>
      </c>
      <c r="D5" s="2" t="s">
        <v>10</v>
      </c>
      <c r="E5" s="4" t="s">
        <v>5</v>
      </c>
      <c r="F5" s="4">
        <f>4000*3.7%</f>
        <v>148.00000000000003</v>
      </c>
    </row>
    <row r="6" spans="1:6">
      <c r="A6" s="2"/>
      <c r="B6" s="2" t="s">
        <v>11</v>
      </c>
      <c r="C6" s="2" t="s">
        <v>5</v>
      </c>
      <c r="D6" s="2"/>
      <c r="E6" s="4">
        <f>F3+F5-E4</f>
        <v>4148</v>
      </c>
      <c r="F6" s="4" t="s">
        <v>5</v>
      </c>
    </row>
    <row r="7" spans="1:6">
      <c r="A7" s="2">
        <v>2</v>
      </c>
      <c r="B7" s="2" t="s">
        <v>5</v>
      </c>
      <c r="C7" s="2" t="s">
        <v>12</v>
      </c>
      <c r="D7" s="2"/>
      <c r="E7" s="4" t="s">
        <v>5</v>
      </c>
      <c r="F7" s="4">
        <v>17700</v>
      </c>
    </row>
    <row r="8" spans="1:6">
      <c r="A8" s="2"/>
      <c r="B8" s="2" t="s">
        <v>8</v>
      </c>
      <c r="C8" s="2"/>
      <c r="D8" s="2"/>
      <c r="E8" s="4">
        <v>531</v>
      </c>
      <c r="F8" s="4" t="s">
        <v>5</v>
      </c>
    </row>
    <row r="9" spans="1:6">
      <c r="A9" s="2"/>
      <c r="B9" s="2" t="s">
        <v>13</v>
      </c>
      <c r="C9" s="2" t="s">
        <v>5</v>
      </c>
      <c r="D9" s="2"/>
      <c r="E9" s="4">
        <v>686.75</v>
      </c>
      <c r="F9" s="4" t="s">
        <v>5</v>
      </c>
    </row>
    <row r="10" spans="1:6">
      <c r="A10" s="2"/>
      <c r="B10" s="2" t="s">
        <v>5</v>
      </c>
      <c r="C10" s="2" t="s">
        <v>9</v>
      </c>
      <c r="D10" s="2"/>
      <c r="E10" s="4" t="s">
        <v>5</v>
      </c>
      <c r="F10" s="4">
        <v>412.05</v>
      </c>
    </row>
    <row r="11" spans="1:6">
      <c r="A11" s="2"/>
      <c r="B11" s="2" t="s">
        <v>14</v>
      </c>
      <c r="C11" s="2" t="s">
        <v>5</v>
      </c>
      <c r="D11" s="2"/>
      <c r="E11" s="4">
        <v>16894.3</v>
      </c>
      <c r="F11" s="4" t="s">
        <v>5</v>
      </c>
    </row>
    <row r="12" spans="1:6" ht="25.5">
      <c r="A12" s="2">
        <v>3</v>
      </c>
      <c r="B12" s="2" t="s">
        <v>15</v>
      </c>
      <c r="C12" s="2" t="s">
        <v>5</v>
      </c>
      <c r="D12" s="2" t="s">
        <v>16</v>
      </c>
      <c r="E12" s="4">
        <v>2970</v>
      </c>
      <c r="F12" s="4" t="s">
        <v>5</v>
      </c>
    </row>
    <row r="13" spans="1:6" ht="25.5">
      <c r="A13" s="2"/>
      <c r="B13" s="2" t="s">
        <v>5</v>
      </c>
      <c r="C13" s="2" t="s">
        <v>17</v>
      </c>
      <c r="D13" s="2" t="s">
        <v>18</v>
      </c>
      <c r="E13" s="4" t="s">
        <v>5</v>
      </c>
      <c r="F13" s="4">
        <f>2970*4/100</f>
        <v>118.8</v>
      </c>
    </row>
    <row r="14" spans="1:6">
      <c r="A14" s="2"/>
      <c r="B14" s="2" t="s">
        <v>5</v>
      </c>
      <c r="C14" s="2" t="s">
        <v>19</v>
      </c>
      <c r="D14" s="2"/>
      <c r="E14" s="4" t="s">
        <v>5</v>
      </c>
      <c r="F14" s="4">
        <f>E12-F13</f>
        <v>2851.2</v>
      </c>
    </row>
    <row r="15" spans="1:6">
      <c r="A15" s="2">
        <v>4</v>
      </c>
      <c r="B15" s="2" t="s">
        <v>5</v>
      </c>
      <c r="C15" s="2" t="s">
        <v>11</v>
      </c>
      <c r="D15" s="2"/>
      <c r="E15" s="4" t="s">
        <v>5</v>
      </c>
      <c r="F15" s="4">
        <f>E6</f>
        <v>4148</v>
      </c>
    </row>
    <row r="16" spans="1:6">
      <c r="A16" s="2"/>
      <c r="B16" s="2" t="s">
        <v>20</v>
      </c>
      <c r="C16" s="2" t="s">
        <v>5</v>
      </c>
      <c r="D16" s="2" t="s">
        <v>21</v>
      </c>
      <c r="E16" s="4">
        <f>4148*1.5/100/1.037</f>
        <v>60</v>
      </c>
      <c r="F16" s="4" t="s">
        <v>5</v>
      </c>
    </row>
    <row r="17" spans="1:7">
      <c r="A17" s="2"/>
      <c r="B17" s="2" t="s">
        <v>9</v>
      </c>
      <c r="C17" s="2" t="s">
        <v>5</v>
      </c>
      <c r="D17" s="2" t="s">
        <v>22</v>
      </c>
      <c r="E17" s="4">
        <v>2.2000000000000002</v>
      </c>
      <c r="F17" s="4" t="s">
        <v>5</v>
      </c>
    </row>
    <row r="18" spans="1:7">
      <c r="A18" s="2"/>
      <c r="B18" s="2" t="s">
        <v>23</v>
      </c>
      <c r="C18" s="2" t="s">
        <v>5</v>
      </c>
      <c r="D18" s="2" t="s">
        <v>24</v>
      </c>
      <c r="E18" s="4">
        <v>4085.8</v>
      </c>
      <c r="F18" s="4" t="s">
        <v>5</v>
      </c>
    </row>
    <row r="19" spans="1:7" ht="25.5">
      <c r="A19" s="2">
        <v>5</v>
      </c>
      <c r="B19" s="2" t="s">
        <v>25</v>
      </c>
      <c r="C19" s="2" t="s">
        <v>5</v>
      </c>
      <c r="D19" s="2" t="s">
        <v>26</v>
      </c>
      <c r="E19" s="4">
        <f>32500-(1685.75/1.037)</f>
        <v>30874.397299903569</v>
      </c>
      <c r="F19" s="4" t="s">
        <v>5</v>
      </c>
    </row>
    <row r="20" spans="1:7" ht="25.5">
      <c r="A20" s="2"/>
      <c r="B20" s="2" t="s">
        <v>5</v>
      </c>
      <c r="C20" s="2" t="s">
        <v>17</v>
      </c>
      <c r="D20" s="2"/>
      <c r="E20" s="4" t="s">
        <v>5</v>
      </c>
      <c r="F20" s="4">
        <v>308.75</v>
      </c>
    </row>
    <row r="21" spans="1:7" ht="25.5">
      <c r="A21" s="2"/>
      <c r="B21" s="2" t="s">
        <v>27</v>
      </c>
      <c r="C21" s="2" t="s">
        <v>5</v>
      </c>
      <c r="D21" s="2" t="s">
        <v>28</v>
      </c>
      <c r="E21" s="4">
        <f>MROUND((E19-F20)*3.7/100,0.05)</f>
        <v>1130.95</v>
      </c>
      <c r="F21" s="4" t="s">
        <v>5</v>
      </c>
      <c r="G21" s="9"/>
    </row>
    <row r="22" spans="1:7">
      <c r="A22" s="2"/>
      <c r="B22" s="2" t="s">
        <v>5</v>
      </c>
      <c r="C22" s="2" t="s">
        <v>23</v>
      </c>
      <c r="D22" s="2"/>
      <c r="E22" s="4" t="s">
        <v>5</v>
      </c>
      <c r="F22" s="4">
        <f>E19+E21-F20</f>
        <v>31696.597299903569</v>
      </c>
    </row>
    <row r="23" spans="1:7">
      <c r="A23" s="2">
        <v>6</v>
      </c>
      <c r="B23" s="2" t="s">
        <v>29</v>
      </c>
      <c r="C23" s="2" t="s">
        <v>5</v>
      </c>
      <c r="D23" s="2"/>
      <c r="E23" s="4">
        <v>25800</v>
      </c>
      <c r="F23" s="4" t="s">
        <v>5</v>
      </c>
    </row>
    <row r="24" spans="1:7">
      <c r="A24" s="2"/>
      <c r="B24" s="2" t="s">
        <v>5</v>
      </c>
      <c r="C24" s="2" t="s">
        <v>30</v>
      </c>
      <c r="D24" s="2"/>
      <c r="E24" s="4" t="s">
        <v>5</v>
      </c>
      <c r="F24" s="4">
        <v>3870</v>
      </c>
    </row>
    <row r="25" spans="1:7" ht="25.5">
      <c r="A25" s="2"/>
      <c r="B25" s="2" t="s">
        <v>5</v>
      </c>
      <c r="C25" s="2" t="s">
        <v>17</v>
      </c>
      <c r="D25" s="2"/>
      <c r="E25" s="4" t="s">
        <v>5</v>
      </c>
      <c r="F25" s="4">
        <v>438.6</v>
      </c>
    </row>
    <row r="26" spans="1:7">
      <c r="A26" s="2"/>
      <c r="B26" s="2" t="s">
        <v>31</v>
      </c>
      <c r="C26" s="2" t="s">
        <v>5</v>
      </c>
      <c r="D26" s="2"/>
      <c r="E26" s="4">
        <f>E87-F89-F91</f>
        <v>1654.85</v>
      </c>
      <c r="F26" s="4" t="s">
        <v>5</v>
      </c>
    </row>
    <row r="27" spans="1:7">
      <c r="A27" s="2"/>
      <c r="B27" s="2" t="s">
        <v>5</v>
      </c>
      <c r="C27" s="2" t="s">
        <v>14</v>
      </c>
      <c r="D27" s="2"/>
      <c r="E27" s="4" t="s">
        <v>5</v>
      </c>
      <c r="F27" s="5">
        <f>E23+E26-F24-F25</f>
        <v>23146.25</v>
      </c>
    </row>
    <row r="28" spans="1:7">
      <c r="A28" s="2">
        <v>7</v>
      </c>
      <c r="B28" s="2" t="s">
        <v>29</v>
      </c>
      <c r="C28" s="2" t="s">
        <v>5</v>
      </c>
      <c r="D28" s="3"/>
      <c r="E28" s="4">
        <f>E93</f>
        <v>15800</v>
      </c>
      <c r="F28" s="4"/>
    </row>
    <row r="29" spans="1:7">
      <c r="A29" s="2"/>
      <c r="B29" s="2" t="s">
        <v>5</v>
      </c>
      <c r="C29" s="2" t="s">
        <v>30</v>
      </c>
      <c r="D29" s="2"/>
      <c r="E29" s="4"/>
      <c r="F29" s="4">
        <f>F95</f>
        <v>395</v>
      </c>
    </row>
    <row r="30" spans="1:7" ht="25.5">
      <c r="A30" s="2"/>
      <c r="B30" s="2" t="s">
        <v>5</v>
      </c>
      <c r="C30" s="2" t="s">
        <v>17</v>
      </c>
      <c r="D30" s="2"/>
      <c r="E30" s="4"/>
      <c r="F30" s="4">
        <f>F97</f>
        <v>308.10000000000002</v>
      </c>
    </row>
    <row r="31" spans="1:7">
      <c r="A31" s="2"/>
      <c r="B31" s="2" t="s">
        <v>31</v>
      </c>
      <c r="C31" s="2" t="s">
        <v>5</v>
      </c>
      <c r="D31" s="2"/>
      <c r="E31" s="4">
        <f>E94-F96-F98</f>
        <v>377.40000000000003</v>
      </c>
      <c r="F31" s="4"/>
    </row>
    <row r="32" spans="1:7">
      <c r="A32" s="2"/>
      <c r="B32" s="2" t="s">
        <v>5</v>
      </c>
      <c r="C32" s="2" t="s">
        <v>19</v>
      </c>
      <c r="D32" s="2"/>
      <c r="E32" s="4"/>
      <c r="F32" s="4">
        <f>E28-F29-F30+E31</f>
        <v>15474.3</v>
      </c>
    </row>
    <row r="33" spans="1:6" ht="25.5">
      <c r="A33" s="2">
        <v>8</v>
      </c>
      <c r="B33" s="2" t="s">
        <v>25</v>
      </c>
      <c r="C33" s="2" t="s">
        <v>5</v>
      </c>
      <c r="D33" s="2" t="s">
        <v>32</v>
      </c>
      <c r="E33" s="4">
        <f>190-9.5</f>
        <v>180.5</v>
      </c>
      <c r="F33" s="4" t="s">
        <v>5</v>
      </c>
    </row>
    <row r="34" spans="1:6" ht="25.5">
      <c r="A34" s="2"/>
      <c r="B34" s="2" t="s">
        <v>27</v>
      </c>
      <c r="C34" s="2" t="s">
        <v>5</v>
      </c>
      <c r="D34" s="2" t="s">
        <v>33</v>
      </c>
      <c r="E34" s="4">
        <f>MROUND(E33*3.7/100,0.05)</f>
        <v>6.7</v>
      </c>
      <c r="F34" s="4" t="s">
        <v>5</v>
      </c>
    </row>
    <row r="35" spans="1:6">
      <c r="A35" s="2"/>
      <c r="B35" s="2" t="s">
        <v>5</v>
      </c>
      <c r="C35" s="2" t="s">
        <v>34</v>
      </c>
      <c r="D35" s="2"/>
      <c r="E35" s="4" t="s">
        <v>5</v>
      </c>
      <c r="F35" s="4">
        <f>E33+E34</f>
        <v>187.2</v>
      </c>
    </row>
    <row r="36" spans="1:6">
      <c r="A36" s="2">
        <v>9</v>
      </c>
      <c r="B36" s="2" t="s">
        <v>5</v>
      </c>
      <c r="C36" s="2" t="s">
        <v>35</v>
      </c>
      <c r="D36" s="2" t="s">
        <v>36</v>
      </c>
      <c r="E36" s="4" t="s">
        <v>5</v>
      </c>
      <c r="F36" s="4">
        <v>363.6</v>
      </c>
    </row>
    <row r="37" spans="1:6">
      <c r="A37" s="2"/>
      <c r="B37" s="2" t="s">
        <v>20</v>
      </c>
      <c r="C37" s="2" t="s">
        <v>5</v>
      </c>
      <c r="D37" s="2" t="s">
        <v>37</v>
      </c>
      <c r="E37" s="4">
        <v>13.5</v>
      </c>
      <c r="F37" s="4"/>
    </row>
    <row r="38" spans="1:6">
      <c r="A38" s="2"/>
      <c r="B38" s="2" t="s">
        <v>9</v>
      </c>
      <c r="C38" s="2" t="s">
        <v>5</v>
      </c>
      <c r="D38" s="2" t="s">
        <v>38</v>
      </c>
      <c r="E38" s="4">
        <v>1.05</v>
      </c>
      <c r="F38" s="4"/>
    </row>
    <row r="39" spans="1:6">
      <c r="A39" s="2"/>
      <c r="B39" s="2" t="s">
        <v>14</v>
      </c>
      <c r="C39" s="2" t="s">
        <v>5</v>
      </c>
      <c r="D39" s="2"/>
      <c r="E39" s="4">
        <v>349.05</v>
      </c>
      <c r="F39" s="4"/>
    </row>
    <row r="40" spans="1:6">
      <c r="A40" s="2">
        <v>10</v>
      </c>
      <c r="B40" s="2" t="s">
        <v>5</v>
      </c>
      <c r="C40" s="2" t="s">
        <v>11</v>
      </c>
      <c r="D40" s="2" t="s">
        <v>39</v>
      </c>
      <c r="E40" s="4" t="s">
        <v>5</v>
      </c>
      <c r="F40" s="4">
        <v>1800</v>
      </c>
    </row>
    <row r="41" spans="1:6">
      <c r="A41" s="2"/>
      <c r="B41" s="2" t="s">
        <v>20</v>
      </c>
      <c r="C41" s="2" t="s">
        <v>5</v>
      </c>
      <c r="D41" s="2" t="s">
        <v>40</v>
      </c>
      <c r="E41" s="4">
        <v>36</v>
      </c>
      <c r="F41" s="4" t="s">
        <v>5</v>
      </c>
    </row>
    <row r="42" spans="1:6">
      <c r="A42" s="2"/>
      <c r="B42" s="2" t="s">
        <v>19</v>
      </c>
      <c r="C42" s="2" t="s">
        <v>5</v>
      </c>
      <c r="D42" s="2"/>
      <c r="E42" s="4">
        <v>1764</v>
      </c>
      <c r="F42" s="4" t="s">
        <v>5</v>
      </c>
    </row>
    <row r="43" spans="1:6">
      <c r="A43" s="2">
        <v>11</v>
      </c>
      <c r="B43" s="2" t="s">
        <v>14</v>
      </c>
      <c r="C43" s="2" t="s">
        <v>5</v>
      </c>
      <c r="D43" s="2" t="s">
        <v>41</v>
      </c>
      <c r="E43" s="4">
        <v>2692.5</v>
      </c>
      <c r="F43" s="4" t="s">
        <v>5</v>
      </c>
    </row>
    <row r="44" spans="1:6">
      <c r="A44" s="2"/>
      <c r="B44" s="2" t="s">
        <v>5</v>
      </c>
      <c r="C44" s="2" t="s">
        <v>9</v>
      </c>
      <c r="D44" s="2" t="s">
        <v>42</v>
      </c>
      <c r="E44" s="4" t="s">
        <v>5</v>
      </c>
      <c r="F44" s="4">
        <v>192.5</v>
      </c>
    </row>
    <row r="45" spans="1:6" ht="25.5">
      <c r="A45" s="2"/>
      <c r="B45" s="2" t="s">
        <v>5</v>
      </c>
      <c r="C45" s="2" t="s">
        <v>43</v>
      </c>
      <c r="D45" s="2" t="s">
        <v>44</v>
      </c>
      <c r="E45" s="4" t="s">
        <v>5</v>
      </c>
      <c r="F45" s="4">
        <v>2500</v>
      </c>
    </row>
    <row r="46" spans="1:6">
      <c r="A46" s="2">
        <v>12</v>
      </c>
      <c r="B46" s="2" t="s">
        <v>34</v>
      </c>
      <c r="C46" s="2" t="s">
        <v>23</v>
      </c>
      <c r="D46" s="2" t="s">
        <v>45</v>
      </c>
      <c r="E46" s="4">
        <v>187.2</v>
      </c>
      <c r="F46" s="4">
        <v>187.2</v>
      </c>
    </row>
    <row r="47" spans="1:6">
      <c r="A47" s="2">
        <v>13</v>
      </c>
      <c r="B47" s="2" t="s">
        <v>8</v>
      </c>
      <c r="C47" s="2" t="s">
        <v>5</v>
      </c>
      <c r="D47" s="2" t="s">
        <v>46</v>
      </c>
      <c r="E47" s="4">
        <f>MROUND(28404*0.12*100/107.7,0.05)</f>
        <v>3164.8</v>
      </c>
      <c r="F47" s="4" t="s">
        <v>5</v>
      </c>
    </row>
    <row r="48" spans="1:6">
      <c r="A48" s="2"/>
      <c r="B48" s="2" t="s">
        <v>9</v>
      </c>
      <c r="C48" s="2" t="s">
        <v>5</v>
      </c>
      <c r="D48" s="2" t="s">
        <v>47</v>
      </c>
      <c r="E48" s="4">
        <f>MROUND(28404*0.12*100/107.7*0.077,0.05)</f>
        <v>243.70000000000002</v>
      </c>
      <c r="F48" s="4" t="s">
        <v>5</v>
      </c>
    </row>
    <row r="49" spans="1:6">
      <c r="A49" s="2"/>
      <c r="B49" s="2" t="s">
        <v>5</v>
      </c>
      <c r="C49" s="2" t="s">
        <v>11</v>
      </c>
      <c r="D49" s="2" t="s">
        <v>48</v>
      </c>
      <c r="E49" s="4" t="s">
        <v>5</v>
      </c>
      <c r="F49" s="4">
        <v>3408.5</v>
      </c>
    </row>
    <row r="50" spans="1:6">
      <c r="A50" s="2">
        <v>14</v>
      </c>
      <c r="B50" s="2" t="s">
        <v>29</v>
      </c>
      <c r="C50" s="2" t="s">
        <v>5</v>
      </c>
      <c r="D50" s="2" t="s">
        <v>49</v>
      </c>
      <c r="E50" s="4">
        <v>463</v>
      </c>
      <c r="F50" s="4"/>
    </row>
    <row r="51" spans="1:6">
      <c r="A51" s="2"/>
      <c r="B51" s="2" t="s">
        <v>5</v>
      </c>
      <c r="C51" s="2" t="s">
        <v>50</v>
      </c>
      <c r="D51" s="2"/>
      <c r="E51" s="4" t="s">
        <v>5</v>
      </c>
      <c r="F51" s="4">
        <v>23.15</v>
      </c>
    </row>
    <row r="52" spans="1:6" ht="25.5">
      <c r="A52" s="2"/>
      <c r="B52" s="2" t="s">
        <v>5</v>
      </c>
      <c r="C52" s="2" t="s">
        <v>17</v>
      </c>
      <c r="D52" s="2" t="s">
        <v>51</v>
      </c>
      <c r="E52" s="4" t="s">
        <v>5</v>
      </c>
      <c r="F52" s="4">
        <v>8.8000000000000007</v>
      </c>
    </row>
    <row r="53" spans="1:6">
      <c r="A53" s="2"/>
      <c r="B53" s="2" t="s">
        <v>5</v>
      </c>
      <c r="C53" s="2" t="s">
        <v>19</v>
      </c>
      <c r="D53" s="2"/>
      <c r="E53" s="4" t="s">
        <v>5</v>
      </c>
      <c r="F53" s="4">
        <f>463-23.15-8.8</f>
        <v>431.05</v>
      </c>
    </row>
    <row r="54" spans="1:6">
      <c r="A54" s="2">
        <v>15</v>
      </c>
      <c r="B54" s="2" t="s">
        <v>19</v>
      </c>
      <c r="C54" s="2" t="s">
        <v>52</v>
      </c>
      <c r="D54" s="2" t="s">
        <v>53</v>
      </c>
      <c r="E54" s="4">
        <f>28404-3408.5</f>
        <v>24995.5</v>
      </c>
      <c r="F54" s="4">
        <f>28404-3408.5</f>
        <v>24995.5</v>
      </c>
    </row>
    <row r="55" spans="1:6" ht="15.75">
      <c r="A55" s="12" t="s">
        <v>54</v>
      </c>
      <c r="B55" s="13"/>
      <c r="C55" s="13"/>
      <c r="D55" s="13"/>
      <c r="E55" s="13"/>
      <c r="F55" s="13"/>
    </row>
    <row r="56" spans="1:6">
      <c r="A56" s="2" t="s">
        <v>1</v>
      </c>
      <c r="B56" s="2" t="s">
        <v>2</v>
      </c>
      <c r="C56" s="2" t="s">
        <v>3</v>
      </c>
      <c r="D56" s="2" t="s">
        <v>4</v>
      </c>
      <c r="E56" s="4" t="s">
        <v>2</v>
      </c>
      <c r="F56" s="4" t="s">
        <v>3</v>
      </c>
    </row>
    <row r="57" spans="1:6">
      <c r="A57" s="2">
        <v>1</v>
      </c>
      <c r="B57" s="2" t="s">
        <v>5</v>
      </c>
      <c r="C57" s="2" t="s">
        <v>6</v>
      </c>
      <c r="D57" s="2" t="s">
        <v>7</v>
      </c>
      <c r="E57" s="4" t="s">
        <v>5</v>
      </c>
      <c r="F57" s="4">
        <v>5000</v>
      </c>
    </row>
    <row r="58" spans="1:6">
      <c r="A58" s="2"/>
      <c r="B58" s="2" t="s">
        <v>5</v>
      </c>
      <c r="C58" s="2" t="s">
        <v>9</v>
      </c>
      <c r="D58" s="2"/>
      <c r="E58" s="4" t="s">
        <v>5</v>
      </c>
      <c r="F58" s="4">
        <f>F57*3.7%</f>
        <v>185.00000000000003</v>
      </c>
    </row>
    <row r="59" spans="1:6">
      <c r="A59" s="2"/>
      <c r="B59" s="2" t="s">
        <v>8</v>
      </c>
      <c r="C59" s="2" t="s">
        <v>5</v>
      </c>
      <c r="D59" s="2"/>
      <c r="E59" s="4">
        <v>1000</v>
      </c>
      <c r="F59" s="4" t="s">
        <v>5</v>
      </c>
    </row>
    <row r="60" spans="1:6">
      <c r="A60" s="2"/>
      <c r="B60" s="2" t="s">
        <v>9</v>
      </c>
      <c r="C60" s="2" t="s">
        <v>5</v>
      </c>
      <c r="D60" s="2"/>
      <c r="E60" s="4">
        <f>E59*3.7%</f>
        <v>37.000000000000007</v>
      </c>
      <c r="F60" s="4" t="s">
        <v>5</v>
      </c>
    </row>
    <row r="61" spans="1:6" ht="25.5">
      <c r="A61" s="2"/>
      <c r="B61" s="2" t="s">
        <v>55</v>
      </c>
      <c r="C61" s="2" t="s">
        <v>5</v>
      </c>
      <c r="D61" s="2"/>
      <c r="E61" s="4">
        <f>F57+F58-E59-E60</f>
        <v>4148</v>
      </c>
      <c r="F61" s="4" t="s">
        <v>5</v>
      </c>
    </row>
    <row r="62" spans="1:6">
      <c r="A62" s="2">
        <v>2</v>
      </c>
      <c r="B62" s="2" t="s">
        <v>5</v>
      </c>
      <c r="C62" s="2" t="s">
        <v>12</v>
      </c>
      <c r="D62" s="2"/>
      <c r="E62" s="4" t="s">
        <v>5</v>
      </c>
      <c r="F62" s="4">
        <v>17700</v>
      </c>
    </row>
    <row r="63" spans="1:6">
      <c r="A63" s="2"/>
      <c r="B63" s="2" t="s">
        <v>5</v>
      </c>
      <c r="C63" s="2" t="s">
        <v>9</v>
      </c>
      <c r="D63" s="2"/>
      <c r="E63" s="4" t="s">
        <v>5</v>
      </c>
      <c r="F63" s="4">
        <v>442.5</v>
      </c>
    </row>
    <row r="64" spans="1:6">
      <c r="A64" s="2"/>
      <c r="B64" s="2" t="s">
        <v>35</v>
      </c>
      <c r="C64" s="2" t="s">
        <v>5</v>
      </c>
      <c r="D64" s="2"/>
      <c r="E64" s="4">
        <v>18142.5</v>
      </c>
      <c r="F64" s="4" t="s">
        <v>5</v>
      </c>
    </row>
    <row r="65" spans="1:6">
      <c r="A65" s="2"/>
      <c r="B65" s="2" t="s">
        <v>5</v>
      </c>
      <c r="C65" s="2" t="s">
        <v>35</v>
      </c>
      <c r="D65" s="2"/>
      <c r="E65" s="4" t="s">
        <v>5</v>
      </c>
      <c r="F65" s="4">
        <v>18142.5</v>
      </c>
    </row>
    <row r="66" spans="1:6">
      <c r="A66" s="2"/>
      <c r="B66" s="2" t="s">
        <v>8</v>
      </c>
      <c r="C66" s="2" t="s">
        <v>5</v>
      </c>
      <c r="D66" s="2"/>
      <c r="E66" s="4">
        <v>531</v>
      </c>
      <c r="F66" s="4" t="s">
        <v>5</v>
      </c>
    </row>
    <row r="67" spans="1:6">
      <c r="A67" s="2"/>
      <c r="B67" s="2" t="s">
        <v>9</v>
      </c>
      <c r="C67" s="2" t="s">
        <v>5</v>
      </c>
      <c r="D67" s="2"/>
      <c r="E67" s="4">
        <v>13.3</v>
      </c>
      <c r="F67" s="4" t="s">
        <v>5</v>
      </c>
    </row>
    <row r="68" spans="1:6">
      <c r="A68" s="2"/>
      <c r="B68" s="2" t="s">
        <v>20</v>
      </c>
      <c r="C68" s="2" t="s">
        <v>5</v>
      </c>
      <c r="D68" s="2"/>
      <c r="E68" s="4">
        <v>686.75</v>
      </c>
      <c r="F68" s="4" t="s">
        <v>5</v>
      </c>
    </row>
    <row r="69" spans="1:6">
      <c r="A69" s="2"/>
      <c r="B69" s="2" t="s">
        <v>9</v>
      </c>
      <c r="C69" s="2" t="s">
        <v>5</v>
      </c>
      <c r="D69" s="2"/>
      <c r="E69" s="4">
        <v>17.149999999999999</v>
      </c>
      <c r="F69" s="4" t="s">
        <v>5</v>
      </c>
    </row>
    <row r="70" spans="1:6">
      <c r="A70" s="2"/>
      <c r="B70" s="2" t="s">
        <v>14</v>
      </c>
      <c r="C70" s="2" t="s">
        <v>5</v>
      </c>
      <c r="D70" s="2"/>
      <c r="E70" s="4">
        <v>16894.3</v>
      </c>
      <c r="F70" s="4" t="s">
        <v>5</v>
      </c>
    </row>
    <row r="71" spans="1:6" ht="25.5">
      <c r="A71" s="2">
        <v>3</v>
      </c>
      <c r="B71" s="2" t="s">
        <v>15</v>
      </c>
      <c r="C71" s="2" t="s">
        <v>5</v>
      </c>
      <c r="D71" s="2"/>
      <c r="E71" s="4">
        <v>3000</v>
      </c>
      <c r="F71" s="4" t="s">
        <v>5</v>
      </c>
    </row>
    <row r="72" spans="1:6" ht="25.5">
      <c r="A72" s="2"/>
      <c r="B72" s="2" t="s">
        <v>5</v>
      </c>
      <c r="C72" s="2" t="s">
        <v>56</v>
      </c>
      <c r="D72" s="2" t="s">
        <v>57</v>
      </c>
      <c r="E72" s="4" t="s">
        <v>5</v>
      </c>
      <c r="F72" s="4">
        <f>3000*0.01</f>
        <v>30</v>
      </c>
    </row>
    <row r="73" spans="1:6" ht="25.5">
      <c r="A73" s="2"/>
      <c r="B73" s="2" t="s">
        <v>5</v>
      </c>
      <c r="C73" s="2" t="s">
        <v>17</v>
      </c>
      <c r="D73" s="2" t="s">
        <v>18</v>
      </c>
      <c r="E73" s="4" t="s">
        <v>5</v>
      </c>
      <c r="F73" s="4">
        <f>2970*4/100</f>
        <v>118.8</v>
      </c>
    </row>
    <row r="74" spans="1:6">
      <c r="A74" s="2"/>
      <c r="B74" s="2" t="s">
        <v>5</v>
      </c>
      <c r="C74" s="2" t="s">
        <v>19</v>
      </c>
      <c r="D74" s="2"/>
      <c r="E74" s="4" t="s">
        <v>5</v>
      </c>
      <c r="F74" s="4">
        <f>E71-F72-F73</f>
        <v>2851.2</v>
      </c>
    </row>
    <row r="75" spans="1:6">
      <c r="A75" s="2">
        <v>4</v>
      </c>
      <c r="B75" s="2" t="s">
        <v>5</v>
      </c>
      <c r="C75" s="2" t="s">
        <v>11</v>
      </c>
      <c r="D75" s="2"/>
      <c r="E75" s="4" t="s">
        <v>5</v>
      </c>
      <c r="F75" s="4">
        <v>4148</v>
      </c>
    </row>
    <row r="76" spans="1:6">
      <c r="A76" s="2"/>
      <c r="B76" s="2" t="s">
        <v>20</v>
      </c>
      <c r="C76" s="2" t="s">
        <v>5</v>
      </c>
      <c r="D76" s="2" t="s">
        <v>21</v>
      </c>
      <c r="E76" s="4">
        <v>60</v>
      </c>
      <c r="F76" s="4" t="s">
        <v>5</v>
      </c>
    </row>
    <row r="77" spans="1:6">
      <c r="A77" s="2"/>
      <c r="B77" s="2" t="s">
        <v>9</v>
      </c>
      <c r="C77" s="2" t="s">
        <v>5</v>
      </c>
      <c r="D77" s="2" t="s">
        <v>22</v>
      </c>
      <c r="E77" s="4">
        <v>2.2000000000000002</v>
      </c>
      <c r="F77" s="4" t="s">
        <v>5</v>
      </c>
    </row>
    <row r="78" spans="1:6">
      <c r="A78" s="2"/>
      <c r="B78" s="2" t="s">
        <v>23</v>
      </c>
      <c r="C78" s="2" t="s">
        <v>5</v>
      </c>
      <c r="D78" s="2" t="s">
        <v>24</v>
      </c>
      <c r="E78" s="4">
        <v>4085.8</v>
      </c>
      <c r="F78" s="4" t="s">
        <v>5</v>
      </c>
    </row>
    <row r="79" spans="1:6" ht="25.5">
      <c r="A79" s="2">
        <v>5</v>
      </c>
      <c r="B79" s="2" t="s">
        <v>25</v>
      </c>
      <c r="C79" s="2" t="s">
        <v>5</v>
      </c>
      <c r="D79" s="2"/>
      <c r="E79" s="4">
        <v>32500</v>
      </c>
      <c r="F79" s="4" t="s">
        <v>5</v>
      </c>
    </row>
    <row r="80" spans="1:6" ht="25.5">
      <c r="A80" s="2"/>
      <c r="B80" s="2" t="s">
        <v>27</v>
      </c>
      <c r="C80" s="2" t="s">
        <v>5</v>
      </c>
      <c r="D80" s="2" t="s">
        <v>58</v>
      </c>
      <c r="E80" s="4">
        <f>32500*3.7/100</f>
        <v>1202.5</v>
      </c>
      <c r="F80" s="4" t="s">
        <v>5</v>
      </c>
    </row>
    <row r="81" spans="1:7" ht="25.5">
      <c r="A81" s="2"/>
      <c r="B81" s="2" t="s">
        <v>5</v>
      </c>
      <c r="C81" s="2" t="s">
        <v>25</v>
      </c>
      <c r="D81" s="2" t="s">
        <v>59</v>
      </c>
      <c r="E81" s="4" t="s">
        <v>5</v>
      </c>
      <c r="F81" s="4">
        <v>1626.6</v>
      </c>
      <c r="G81" s="9"/>
    </row>
    <row r="82" spans="1:7" ht="25.5">
      <c r="A82" s="2"/>
      <c r="B82" s="2" t="s">
        <v>5</v>
      </c>
      <c r="C82" s="2" t="s">
        <v>27</v>
      </c>
      <c r="D82" s="2" t="s">
        <v>60</v>
      </c>
      <c r="E82" s="4" t="s">
        <v>5</v>
      </c>
      <c r="F82" s="4">
        <f>MROUND(F81*3.7/100,0.05)</f>
        <v>60.2</v>
      </c>
    </row>
    <row r="83" spans="1:7" ht="25.5">
      <c r="A83" s="2"/>
      <c r="B83" s="2" t="s">
        <v>5</v>
      </c>
      <c r="C83" s="2" t="s">
        <v>17</v>
      </c>
      <c r="D83" s="2" t="s">
        <v>61</v>
      </c>
      <c r="E83" s="4" t="s">
        <v>5</v>
      </c>
      <c r="F83" s="4">
        <v>308.75</v>
      </c>
    </row>
    <row r="84" spans="1:7" ht="25.5">
      <c r="A84" s="2"/>
      <c r="B84" s="2" t="s">
        <v>5</v>
      </c>
      <c r="C84" s="2" t="s">
        <v>27</v>
      </c>
      <c r="D84" s="2" t="s">
        <v>62</v>
      </c>
      <c r="E84" s="4" t="s">
        <v>5</v>
      </c>
      <c r="F84" s="4">
        <v>11.35</v>
      </c>
    </row>
    <row r="85" spans="1:7">
      <c r="A85" s="2"/>
      <c r="B85" s="2" t="s">
        <v>5</v>
      </c>
      <c r="C85" s="2" t="s">
        <v>23</v>
      </c>
      <c r="D85" s="2"/>
      <c r="E85" s="4"/>
      <c r="F85" s="4">
        <f>E79+E80-F81-F82-F83-F84</f>
        <v>31695.600000000002</v>
      </c>
    </row>
    <row r="86" spans="1:7">
      <c r="A86" s="2">
        <v>6</v>
      </c>
      <c r="B86" s="2" t="s">
        <v>29</v>
      </c>
      <c r="C86" s="2"/>
      <c r="D86" s="2"/>
      <c r="E86" s="4">
        <f>25800</f>
        <v>25800</v>
      </c>
      <c r="F86" s="4" t="s">
        <v>5</v>
      </c>
    </row>
    <row r="87" spans="1:7">
      <c r="A87" s="2"/>
      <c r="B87" s="2" t="s">
        <v>63</v>
      </c>
      <c r="C87" s="2"/>
      <c r="D87" s="2"/>
      <c r="E87" s="4">
        <f>E86*0.077</f>
        <v>1986.6</v>
      </c>
      <c r="F87" s="4" t="s">
        <v>5</v>
      </c>
    </row>
    <row r="88" spans="1:7">
      <c r="A88" s="2"/>
      <c r="B88" s="2" t="s">
        <v>5</v>
      </c>
      <c r="C88" s="2" t="s">
        <v>30</v>
      </c>
      <c r="D88" s="2"/>
      <c r="E88" s="4" t="s">
        <v>5</v>
      </c>
      <c r="F88" s="4">
        <f>E86*0.15</f>
        <v>3870</v>
      </c>
    </row>
    <row r="89" spans="1:7">
      <c r="A89" s="2"/>
      <c r="B89" s="2" t="s">
        <v>5</v>
      </c>
      <c r="C89" s="2" t="s">
        <v>64</v>
      </c>
      <c r="D89" s="2" t="s">
        <v>65</v>
      </c>
      <c r="E89" s="4" t="s">
        <v>5</v>
      </c>
      <c r="F89" s="4">
        <f>MROUND(F88*0.077,0.05)</f>
        <v>298</v>
      </c>
    </row>
    <row r="90" spans="1:7" ht="25.5">
      <c r="A90" s="2"/>
      <c r="B90" s="2" t="s">
        <v>5</v>
      </c>
      <c r="C90" s="2" t="s">
        <v>17</v>
      </c>
      <c r="D90" s="2"/>
      <c r="E90" s="4" t="s">
        <v>5</v>
      </c>
      <c r="F90" s="4">
        <f>(E86-F88)*2/100</f>
        <v>438.6</v>
      </c>
    </row>
    <row r="91" spans="1:7">
      <c r="A91" s="2"/>
      <c r="B91" s="2" t="s">
        <v>5</v>
      </c>
      <c r="C91" s="2" t="s">
        <v>64</v>
      </c>
      <c r="D91" s="2" t="s">
        <v>66</v>
      </c>
      <c r="E91" s="4" t="s">
        <v>5</v>
      </c>
      <c r="F91" s="4">
        <f>MROUND(F90*7.7/100,0.05)</f>
        <v>33.75</v>
      </c>
    </row>
    <row r="92" spans="1:7">
      <c r="A92" s="2"/>
      <c r="B92" s="2" t="s">
        <v>5</v>
      </c>
      <c r="C92" s="2" t="s">
        <v>14</v>
      </c>
      <c r="D92" s="2"/>
      <c r="E92" s="4" t="s">
        <v>5</v>
      </c>
      <c r="F92" s="5">
        <f>E86+E87-F88-F89-F90-F91</f>
        <v>23146.25</v>
      </c>
    </row>
    <row r="93" spans="1:7">
      <c r="A93" s="2">
        <v>7</v>
      </c>
      <c r="B93" s="2" t="s">
        <v>29</v>
      </c>
      <c r="C93" s="2" t="s">
        <v>5</v>
      </c>
      <c r="D93" s="2" t="s">
        <v>67</v>
      </c>
      <c r="E93" s="4">
        <v>15800</v>
      </c>
      <c r="F93" s="4" t="s">
        <v>5</v>
      </c>
    </row>
    <row r="94" spans="1:7">
      <c r="A94" s="2"/>
      <c r="B94" s="2" t="s">
        <v>63</v>
      </c>
      <c r="C94" s="2" t="s">
        <v>5</v>
      </c>
      <c r="D94" s="2" t="s">
        <v>68</v>
      </c>
      <c r="E94" s="4">
        <f>E93*2.5/100</f>
        <v>395</v>
      </c>
      <c r="F94" s="4" t="s">
        <v>5</v>
      </c>
    </row>
    <row r="95" spans="1:7">
      <c r="A95" s="2"/>
      <c r="B95" s="2" t="s">
        <v>5</v>
      </c>
      <c r="C95" s="2" t="s">
        <v>30</v>
      </c>
      <c r="D95" s="2" t="s">
        <v>69</v>
      </c>
      <c r="E95" s="4" t="s">
        <v>5</v>
      </c>
      <c r="F95" s="4">
        <f>E93*2.5/100</f>
        <v>395</v>
      </c>
    </row>
    <row r="96" spans="1:7">
      <c r="A96" s="2"/>
      <c r="B96" s="2" t="s">
        <v>5</v>
      </c>
      <c r="C96" s="2" t="s">
        <v>64</v>
      </c>
      <c r="D96" s="2" t="s">
        <v>70</v>
      </c>
      <c r="E96" s="4" t="s">
        <v>5</v>
      </c>
      <c r="F96" s="4">
        <v>9.9</v>
      </c>
    </row>
    <row r="97" spans="1:6" ht="25.5">
      <c r="A97" s="2"/>
      <c r="B97" s="2" t="s">
        <v>5</v>
      </c>
      <c r="C97" s="2" t="s">
        <v>17</v>
      </c>
      <c r="D97" s="2" t="s">
        <v>71</v>
      </c>
      <c r="E97" s="4" t="s">
        <v>5</v>
      </c>
      <c r="F97" s="4">
        <f>(E93-F95)*2/100</f>
        <v>308.10000000000002</v>
      </c>
    </row>
    <row r="98" spans="1:6">
      <c r="A98" s="2"/>
      <c r="B98" s="2" t="s">
        <v>5</v>
      </c>
      <c r="C98" s="2" t="s">
        <v>64</v>
      </c>
      <c r="D98" s="2" t="s">
        <v>72</v>
      </c>
      <c r="E98" s="4" t="s">
        <v>5</v>
      </c>
      <c r="F98" s="4">
        <v>7.7</v>
      </c>
    </row>
    <row r="99" spans="1:6">
      <c r="A99" s="2"/>
      <c r="B99" s="2" t="s">
        <v>5</v>
      </c>
      <c r="C99" s="2" t="s">
        <v>19</v>
      </c>
      <c r="D99" s="2"/>
      <c r="E99" s="4" t="s">
        <v>5</v>
      </c>
      <c r="F99" s="4">
        <v>15474.3</v>
      </c>
    </row>
    <row r="100" spans="1:6" ht="25.5">
      <c r="A100" s="2">
        <v>8</v>
      </c>
      <c r="B100" s="2" t="s">
        <v>25</v>
      </c>
      <c r="C100" s="2" t="s">
        <v>5</v>
      </c>
      <c r="D100" s="2"/>
      <c r="E100" s="4">
        <v>190</v>
      </c>
      <c r="F100" s="4" t="s">
        <v>5</v>
      </c>
    </row>
    <row r="101" spans="1:6" ht="25.5">
      <c r="A101" s="2"/>
      <c r="B101" s="2" t="s">
        <v>27</v>
      </c>
      <c r="C101" s="2" t="s">
        <v>5</v>
      </c>
      <c r="D101" s="2" t="s">
        <v>73</v>
      </c>
      <c r="E101" s="4">
        <f>MROUND(E100*3.7/100,0.05)</f>
        <v>7.0500000000000007</v>
      </c>
      <c r="F101" s="4" t="s">
        <v>5</v>
      </c>
    </row>
    <row r="102" spans="1:6" ht="25.5">
      <c r="A102" s="2"/>
      <c r="B102" s="2" t="s">
        <v>5</v>
      </c>
      <c r="C102" s="2" t="s">
        <v>25</v>
      </c>
      <c r="D102" s="2"/>
      <c r="E102" s="4" t="s">
        <v>5</v>
      </c>
      <c r="F102" s="4">
        <v>9.5</v>
      </c>
    </row>
    <row r="103" spans="1:6" ht="25.5">
      <c r="A103" s="2"/>
      <c r="B103" s="2" t="s">
        <v>5</v>
      </c>
      <c r="C103" s="2" t="s">
        <v>27</v>
      </c>
      <c r="D103" s="2" t="s">
        <v>74</v>
      </c>
      <c r="E103" s="4" t="s">
        <v>5</v>
      </c>
      <c r="F103" s="4">
        <f>MROUND(F102*3.7/100,0.05)</f>
        <v>0.35000000000000003</v>
      </c>
    </row>
    <row r="104" spans="1:6">
      <c r="A104" s="2"/>
      <c r="B104" s="2" t="s">
        <v>5</v>
      </c>
      <c r="C104" s="2" t="s">
        <v>34</v>
      </c>
      <c r="D104" s="2" t="s">
        <v>75</v>
      </c>
      <c r="E104" s="4" t="s">
        <v>5</v>
      </c>
      <c r="F104" s="4">
        <f>E100+E101-F102-F103</f>
        <v>187.20000000000002</v>
      </c>
    </row>
    <row r="105" spans="1:6">
      <c r="A105" s="2">
        <v>9</v>
      </c>
      <c r="B105" s="2" t="s">
        <v>5</v>
      </c>
      <c r="C105" s="2" t="s">
        <v>76</v>
      </c>
      <c r="D105" s="2" t="s">
        <v>77</v>
      </c>
      <c r="E105" s="4" t="s">
        <v>5</v>
      </c>
      <c r="F105" s="4">
        <v>422</v>
      </c>
    </row>
    <row r="106" spans="1:6">
      <c r="A106" s="2"/>
      <c r="B106" s="2" t="s">
        <v>5</v>
      </c>
      <c r="C106" s="2" t="s">
        <v>78</v>
      </c>
      <c r="D106" s="2" t="s">
        <v>79</v>
      </c>
      <c r="E106" s="4" t="s">
        <v>5</v>
      </c>
      <c r="F106" s="4">
        <f>MROUND(F105*7.7/100,0.05)</f>
        <v>32.5</v>
      </c>
    </row>
    <row r="107" spans="1:6">
      <c r="A107" s="2"/>
      <c r="B107" s="2" t="s">
        <v>80</v>
      </c>
      <c r="C107" s="2" t="s">
        <v>5</v>
      </c>
      <c r="D107" s="2" t="s">
        <v>81</v>
      </c>
      <c r="E107" s="4">
        <f>422*0.2</f>
        <v>84.4</v>
      </c>
      <c r="F107" s="4" t="s">
        <v>5</v>
      </c>
    </row>
    <row r="108" spans="1:6">
      <c r="A108" s="2"/>
      <c r="B108" s="2" t="s">
        <v>78</v>
      </c>
      <c r="C108" s="2" t="s">
        <v>5</v>
      </c>
      <c r="D108" s="2" t="s">
        <v>82</v>
      </c>
      <c r="E108" s="4">
        <f>MROUND(E107*0.077,0.05)</f>
        <v>6.5</v>
      </c>
      <c r="F108" s="4" t="s">
        <v>5</v>
      </c>
    </row>
    <row r="109" spans="1:6">
      <c r="A109" s="2"/>
      <c r="B109" s="2" t="s">
        <v>83</v>
      </c>
      <c r="C109" s="2" t="s">
        <v>5</v>
      </c>
      <c r="D109" s="2" t="s">
        <v>36</v>
      </c>
      <c r="E109" s="4">
        <f>422*1.077*0.8</f>
        <v>363.59519999999998</v>
      </c>
      <c r="F109" s="4" t="s">
        <v>5</v>
      </c>
    </row>
    <row r="110" spans="1:6">
      <c r="A110" s="2"/>
      <c r="B110" s="2" t="s">
        <v>5</v>
      </c>
      <c r="C110" s="2" t="s">
        <v>52</v>
      </c>
      <c r="D110" s="2" t="s">
        <v>84</v>
      </c>
      <c r="E110" s="4" t="s">
        <v>5</v>
      </c>
      <c r="F110" s="4">
        <f>E109</f>
        <v>363.59519999999998</v>
      </c>
    </row>
    <row r="111" spans="1:6">
      <c r="A111" s="2"/>
      <c r="B111" s="2" t="s">
        <v>85</v>
      </c>
      <c r="C111" s="2" t="s">
        <v>5</v>
      </c>
      <c r="D111" s="2" t="s">
        <v>37</v>
      </c>
      <c r="E111" s="4">
        <f>MROUND(F110*0.04/107.7*100,0.05)</f>
        <v>13.5</v>
      </c>
      <c r="F111" s="4"/>
    </row>
    <row r="112" spans="1:6">
      <c r="A112" s="2"/>
      <c r="B112" s="2" t="s">
        <v>9</v>
      </c>
      <c r="C112" s="2" t="s">
        <v>5</v>
      </c>
      <c r="D112" s="2" t="s">
        <v>38</v>
      </c>
      <c r="E112" s="4">
        <f>MROUND(F110*0.04/107.7*7.7,0.05)</f>
        <v>1.05</v>
      </c>
      <c r="F112" s="4"/>
    </row>
    <row r="113" spans="1:6">
      <c r="A113" s="2"/>
      <c r="B113" s="2" t="s">
        <v>14</v>
      </c>
      <c r="C113" s="2" t="s">
        <v>5</v>
      </c>
      <c r="D113" s="2"/>
      <c r="E113" s="4">
        <f>F110-E111-E112</f>
        <v>349.04519999999997</v>
      </c>
      <c r="F113" s="4"/>
    </row>
    <row r="114" spans="1:6">
      <c r="A114" s="2">
        <v>10</v>
      </c>
      <c r="B114" s="2" t="s">
        <v>5</v>
      </c>
      <c r="C114" s="2" t="s">
        <v>76</v>
      </c>
      <c r="D114" s="2" t="s">
        <v>77</v>
      </c>
      <c r="E114" s="4" t="s">
        <v>5</v>
      </c>
      <c r="F114" s="4">
        <v>2000</v>
      </c>
    </row>
    <row r="115" spans="1:6">
      <c r="A115" s="2"/>
      <c r="B115" s="2" t="s">
        <v>80</v>
      </c>
      <c r="C115" s="2"/>
      <c r="D115" s="2" t="s">
        <v>86</v>
      </c>
      <c r="E115" s="4">
        <v>200</v>
      </c>
      <c r="F115" s="4" t="s">
        <v>5</v>
      </c>
    </row>
    <row r="116" spans="1:6">
      <c r="A116" s="2"/>
      <c r="B116" s="2" t="s">
        <v>83</v>
      </c>
      <c r="C116" s="2"/>
      <c r="D116" s="2"/>
      <c r="E116" s="4">
        <v>1800</v>
      </c>
      <c r="F116" s="4" t="s">
        <v>5</v>
      </c>
    </row>
    <row r="117" spans="1:6">
      <c r="A117" s="2"/>
      <c r="B117" s="2" t="s">
        <v>5</v>
      </c>
      <c r="C117" s="2" t="s">
        <v>52</v>
      </c>
      <c r="D117" s="2" t="s">
        <v>84</v>
      </c>
      <c r="E117" s="4" t="s">
        <v>5</v>
      </c>
      <c r="F117" s="4">
        <v>1800</v>
      </c>
    </row>
    <row r="118" spans="1:6">
      <c r="A118" s="7"/>
      <c r="B118" s="7" t="s">
        <v>87</v>
      </c>
      <c r="C118" s="1" t="s">
        <v>5</v>
      </c>
      <c r="D118" s="7" t="s">
        <v>88</v>
      </c>
      <c r="E118" s="8">
        <f>1800*0.02</f>
        <v>36</v>
      </c>
      <c r="F118" s="8" t="s">
        <v>5</v>
      </c>
    </row>
    <row r="119" spans="1:6">
      <c r="A119" s="2"/>
      <c r="B119" s="2" t="s">
        <v>89</v>
      </c>
      <c r="C119" s="2" t="s">
        <v>5</v>
      </c>
      <c r="D119" s="2"/>
      <c r="E119" s="4">
        <v>1764</v>
      </c>
      <c r="F119" s="4" t="s">
        <v>5</v>
      </c>
    </row>
    <row r="120" spans="1:6">
      <c r="A120" s="2">
        <v>11</v>
      </c>
      <c r="B120" s="2" t="s">
        <v>5</v>
      </c>
      <c r="C120" s="2" t="s">
        <v>76</v>
      </c>
      <c r="D120" s="2" t="s">
        <v>77</v>
      </c>
      <c r="E120" s="4" t="s">
        <v>5</v>
      </c>
      <c r="F120" s="4">
        <v>10000</v>
      </c>
    </row>
    <row r="121" spans="1:6">
      <c r="A121" s="2"/>
      <c r="B121" s="2" t="s">
        <v>5</v>
      </c>
      <c r="C121" s="2" t="s">
        <v>78</v>
      </c>
      <c r="D121" s="2" t="s">
        <v>90</v>
      </c>
      <c r="E121" s="4"/>
      <c r="F121" s="4">
        <v>770</v>
      </c>
    </row>
    <row r="122" spans="1:6">
      <c r="A122" s="2"/>
      <c r="B122" s="2" t="s">
        <v>83</v>
      </c>
      <c r="C122" s="2" t="s">
        <v>5</v>
      </c>
      <c r="D122" s="2"/>
      <c r="E122" s="4">
        <v>10770</v>
      </c>
      <c r="F122" s="4" t="s">
        <v>5</v>
      </c>
    </row>
    <row r="123" spans="1:6">
      <c r="A123" s="2"/>
      <c r="B123" s="2" t="s">
        <v>5</v>
      </c>
      <c r="C123" s="2" t="s">
        <v>83</v>
      </c>
      <c r="D123" s="2"/>
      <c r="E123" s="4" t="s">
        <v>5</v>
      </c>
      <c r="F123" s="4">
        <v>10770</v>
      </c>
    </row>
    <row r="124" spans="1:6" ht="25.5">
      <c r="A124" s="2"/>
      <c r="B124" s="2" t="s">
        <v>91</v>
      </c>
      <c r="C124" s="2" t="s">
        <v>5</v>
      </c>
      <c r="D124" s="2" t="s">
        <v>92</v>
      </c>
      <c r="E124" s="4">
        <v>10000</v>
      </c>
      <c r="F124" s="4" t="s">
        <v>5</v>
      </c>
    </row>
    <row r="125" spans="1:6">
      <c r="A125" s="2"/>
      <c r="B125" s="2" t="s">
        <v>78</v>
      </c>
      <c r="C125" s="2" t="s">
        <v>5</v>
      </c>
      <c r="D125" s="2"/>
      <c r="E125" s="4">
        <v>770</v>
      </c>
      <c r="F125" s="4" t="s">
        <v>5</v>
      </c>
    </row>
    <row r="126" spans="1:6">
      <c r="A126" s="2"/>
      <c r="B126" s="2" t="s">
        <v>5</v>
      </c>
      <c r="C126" s="2" t="s">
        <v>93</v>
      </c>
      <c r="D126" s="2" t="s">
        <v>84</v>
      </c>
      <c r="E126" s="4" t="s">
        <v>5</v>
      </c>
      <c r="F126" s="4">
        <v>2500</v>
      </c>
    </row>
    <row r="127" spans="1:6">
      <c r="A127" s="2"/>
      <c r="B127" s="2" t="s">
        <v>5</v>
      </c>
      <c r="C127" s="2" t="s">
        <v>9</v>
      </c>
      <c r="D127" s="2"/>
      <c r="E127" s="4" t="s">
        <v>5</v>
      </c>
      <c r="F127" s="4">
        <f>2500*7.7/100</f>
        <v>192.5</v>
      </c>
    </row>
    <row r="128" spans="1:6">
      <c r="A128" s="2"/>
      <c r="B128" s="2" t="s">
        <v>14</v>
      </c>
      <c r="C128" s="2" t="s">
        <v>5</v>
      </c>
      <c r="D128" s="2"/>
      <c r="E128" s="4">
        <f>F126+F127</f>
        <v>2692.5</v>
      </c>
      <c r="F128" s="4" t="s">
        <v>5</v>
      </c>
    </row>
    <row r="129" spans="1:6">
      <c r="A129" s="2">
        <v>12</v>
      </c>
      <c r="B129" s="2" t="s">
        <v>34</v>
      </c>
      <c r="C129" s="2" t="s">
        <v>23</v>
      </c>
      <c r="D129" s="2" t="s">
        <v>45</v>
      </c>
      <c r="E129" s="4">
        <v>187.2</v>
      </c>
      <c r="F129" s="4">
        <v>187.2</v>
      </c>
    </row>
    <row r="130" spans="1:6">
      <c r="A130" s="2">
        <v>13</v>
      </c>
      <c r="B130" s="2" t="s">
        <v>8</v>
      </c>
      <c r="C130" s="2" t="s">
        <v>5</v>
      </c>
      <c r="D130" s="2" t="s">
        <v>46</v>
      </c>
      <c r="E130" s="4">
        <f>MROUND(28404*0.12*100/107.7,0.05)</f>
        <v>3164.8</v>
      </c>
      <c r="F130" s="4" t="s">
        <v>5</v>
      </c>
    </row>
    <row r="131" spans="1:6">
      <c r="A131" s="2"/>
      <c r="B131" s="2" t="s">
        <v>9</v>
      </c>
      <c r="C131" s="2" t="s">
        <v>5</v>
      </c>
      <c r="D131" s="2" t="s">
        <v>47</v>
      </c>
      <c r="E131" s="4">
        <f>MROUND(28404*0.12*100/107.7*0.077,0.05)</f>
        <v>243.70000000000002</v>
      </c>
      <c r="F131" s="4" t="s">
        <v>5</v>
      </c>
    </row>
    <row r="132" spans="1:6">
      <c r="A132" s="2"/>
      <c r="B132" s="2" t="s">
        <v>5</v>
      </c>
      <c r="C132" s="2" t="s">
        <v>11</v>
      </c>
      <c r="D132" s="2" t="s">
        <v>48</v>
      </c>
      <c r="E132" s="4" t="s">
        <v>5</v>
      </c>
      <c r="F132" s="4">
        <v>3408.5</v>
      </c>
    </row>
    <row r="133" spans="1:6">
      <c r="A133" s="2">
        <v>14</v>
      </c>
      <c r="B133" s="2" t="s">
        <v>29</v>
      </c>
      <c r="C133" s="2" t="s">
        <v>5</v>
      </c>
      <c r="D133" s="2" t="s">
        <v>49</v>
      </c>
      <c r="E133" s="4">
        <v>463</v>
      </c>
      <c r="F133" s="4"/>
    </row>
    <row r="134" spans="1:6">
      <c r="A134" s="2"/>
      <c r="B134" s="2" t="s">
        <v>5</v>
      </c>
      <c r="C134" s="2" t="s">
        <v>50</v>
      </c>
      <c r="D134" s="2"/>
      <c r="E134" s="4" t="s">
        <v>5</v>
      </c>
      <c r="F134" s="4">
        <v>23.15</v>
      </c>
    </row>
    <row r="135" spans="1:6" ht="25.5">
      <c r="A135" s="2"/>
      <c r="B135" s="2" t="s">
        <v>5</v>
      </c>
      <c r="C135" s="2" t="s">
        <v>17</v>
      </c>
      <c r="D135" s="2" t="s">
        <v>51</v>
      </c>
      <c r="E135" s="4" t="s">
        <v>5</v>
      </c>
      <c r="F135" s="4">
        <v>8.8000000000000007</v>
      </c>
    </row>
    <row r="136" spans="1:6">
      <c r="A136" s="2"/>
      <c r="B136" s="2" t="s">
        <v>5</v>
      </c>
      <c r="C136" s="2" t="s">
        <v>19</v>
      </c>
      <c r="D136" s="2"/>
      <c r="E136" s="4" t="s">
        <v>5</v>
      </c>
      <c r="F136" s="4">
        <f>463-23.15-8.8</f>
        <v>431.05</v>
      </c>
    </row>
    <row r="137" spans="1:6">
      <c r="A137" s="2">
        <v>15</v>
      </c>
      <c r="B137" s="2" t="s">
        <v>19</v>
      </c>
      <c r="C137" s="2" t="s">
        <v>52</v>
      </c>
      <c r="D137" s="2" t="s">
        <v>53</v>
      </c>
      <c r="E137" s="4">
        <f>28404-3408.5</f>
        <v>24995.5</v>
      </c>
      <c r="F137" s="4">
        <f>28404-3408.5</f>
        <v>24995.5</v>
      </c>
    </row>
  </sheetData>
  <mergeCells count="2">
    <mergeCell ref="A1:F1"/>
    <mergeCell ref="A55:F55"/>
  </mergeCells>
  <phoneticPr fontId="8" type="noConversion"/>
  <pageMargins left="0.25" right="0.25" top="0.75" bottom="0.75" header="0.3" footer="0.3"/>
  <pageSetup paperSize="9" orientation="portrait" r:id="rId1"/>
  <rowBreaks count="2" manualBreakCount="2">
    <brk id="54" max="16383" man="1"/>
    <brk id="9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Haute École spécialisée de Suisse occidentale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Yannick Bravo</dc:creator>
  <cp:keywords/>
  <dc:description/>
  <cp:lastModifiedBy>Charlotte Fougeront</cp:lastModifiedBy>
  <cp:revision/>
  <dcterms:created xsi:type="dcterms:W3CDTF">2015-05-12T07:44:33Z</dcterms:created>
  <dcterms:modified xsi:type="dcterms:W3CDTF">2021-03-07T20:50:31Z</dcterms:modified>
  <cp:category/>
  <cp:contentStatus/>
</cp:coreProperties>
</file>