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C124EBA1-AAE2-814B-980E-D98DA694B334}" xr6:coauthVersionLast="43" xr6:coauthVersionMax="43" xr10:uidLastSave="{00000000-0000-0000-0000-000000000000}"/>
  <bookViews>
    <workbookView xWindow="38280" yWindow="1340" windowWidth="25520" windowHeight="3664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1" l="1"/>
  <c r="E37" i="1"/>
  <c r="C48" i="1"/>
  <c r="C49" i="1"/>
  <c r="C51" i="1"/>
  <c r="F31" i="1" s="1"/>
  <c r="C52" i="1"/>
  <c r="C53" i="1"/>
  <c r="F32" i="1"/>
  <c r="C54" i="1" s="1"/>
  <c r="F33" i="1"/>
  <c r="C55" i="1" s="1"/>
  <c r="C58" i="1"/>
  <c r="E34" i="1"/>
  <c r="C59" i="1"/>
  <c r="F95" i="1"/>
  <c r="E97" i="1" s="1"/>
  <c r="F110" i="1" s="1"/>
  <c r="E112" i="1" s="1"/>
  <c r="E111" i="1"/>
  <c r="E77" i="1"/>
  <c r="F80" i="1" s="1"/>
  <c r="E79" i="1"/>
  <c r="F29" i="1"/>
  <c r="F18" i="1"/>
  <c r="E18" i="1"/>
  <c r="F114" i="1"/>
  <c r="E107" i="1"/>
  <c r="E109" i="1"/>
  <c r="F100" i="1"/>
  <c r="F99" i="1"/>
  <c r="F89" i="1"/>
  <c r="F90" i="1"/>
  <c r="E92" i="1"/>
  <c r="E93" i="1"/>
  <c r="E94" i="1"/>
  <c r="F94" i="1"/>
  <c r="F93" i="1"/>
  <c r="F92" i="1"/>
  <c r="E90" i="1"/>
  <c r="F88" i="1"/>
  <c r="E88" i="1"/>
  <c r="F81" i="1"/>
  <c r="E82" i="1"/>
  <c r="E83" i="1"/>
  <c r="E75" i="1"/>
  <c r="E69" i="1"/>
  <c r="F70" i="1" s="1"/>
  <c r="F67" i="1"/>
  <c r="E67" i="1"/>
  <c r="E52" i="1"/>
  <c r="E46" i="1"/>
  <c r="E50" i="1" s="1"/>
  <c r="E48" i="1"/>
  <c r="F27" i="1"/>
  <c r="E25" i="1" s="1"/>
  <c r="E30" i="1"/>
  <c r="F19" i="1"/>
  <c r="F23" i="1" s="1"/>
  <c r="E19" i="1"/>
  <c r="E23" i="1"/>
  <c r="E5" i="1"/>
  <c r="F11" i="1" s="1"/>
  <c r="E6" i="1"/>
  <c r="F14" i="1"/>
  <c r="F10" i="1"/>
  <c r="F28" i="1" l="1"/>
  <c r="E28" i="1"/>
  <c r="E36" i="1"/>
  <c r="F36" i="1"/>
  <c r="F35" i="1"/>
  <c r="C56" i="1"/>
  <c r="C60" i="1" s="1"/>
  <c r="F39" i="1"/>
</calcChain>
</file>

<file path=xl/sharedStrings.xml><?xml version="1.0" encoding="utf-8"?>
<sst xmlns="http://schemas.openxmlformats.org/spreadsheetml/2006/main" count="331" uniqueCount="162">
  <si>
    <t>-</t>
  </si>
  <si>
    <t>Prime à l'émission</t>
  </si>
  <si>
    <t>Associé A</t>
  </si>
  <si>
    <t>Associé B</t>
  </si>
  <si>
    <t>n°</t>
  </si>
  <si>
    <t>débit</t>
  </si>
  <si>
    <t>crédit</t>
  </si>
  <si>
    <t>libellé</t>
  </si>
  <si>
    <t>30 x 1'000.-</t>
  </si>
  <si>
    <t>30'000 x 25%</t>
  </si>
  <si>
    <t>37'500.- x 60%</t>
  </si>
  <si>
    <t>37'500.- x 40%</t>
  </si>
  <si>
    <t>1a</t>
  </si>
  <si>
    <t>Banque</t>
  </si>
  <si>
    <t>Caisse</t>
  </si>
  <si>
    <t>Débiteurs</t>
  </si>
  <si>
    <t>Ducroire</t>
  </si>
  <si>
    <t>2000 x 25%</t>
  </si>
  <si>
    <t>Insuffisance d'apport</t>
  </si>
  <si>
    <t>Véhicules</t>
  </si>
  <si>
    <t>1b</t>
  </si>
  <si>
    <t>Achats de marchandise</t>
  </si>
  <si>
    <t>Créanciers</t>
  </si>
  <si>
    <t>5'000.- x 108%</t>
  </si>
  <si>
    <t>Ventes de Marchandise</t>
  </si>
  <si>
    <t>Liquidité</t>
  </si>
  <si>
    <t>A, Privé</t>
  </si>
  <si>
    <t>rien à journaliser</t>
  </si>
  <si>
    <t>Frais d'achats</t>
  </si>
  <si>
    <t>Associé C</t>
  </si>
  <si>
    <t>Salaire</t>
  </si>
  <si>
    <t>Dettes AVS</t>
  </si>
  <si>
    <t>Dettes LPP</t>
  </si>
  <si>
    <t>6312 - (20'000 / 12) x 4%</t>
  </si>
  <si>
    <t>Frais de déplacements</t>
  </si>
  <si>
    <t>127 x 0,54</t>
  </si>
  <si>
    <t>Salaire à payer</t>
  </si>
  <si>
    <t>Primes LAA</t>
  </si>
  <si>
    <t>2,5 % x 6312</t>
  </si>
  <si>
    <t>Cotisations AVS</t>
  </si>
  <si>
    <t>Cotisations LPP</t>
  </si>
  <si>
    <t>Cotisation AVS</t>
  </si>
  <si>
    <t>6312 - (20'000 / 12) x 8%</t>
  </si>
  <si>
    <t xml:space="preserve"> = salaire déterminant</t>
  </si>
  <si>
    <t xml:space="preserve"> + travail samedi (3x)</t>
  </si>
  <si>
    <t xml:space="preserve"> + repas offert (18x)</t>
  </si>
  <si>
    <t xml:space="preserve"> + moitié 13ème</t>
  </si>
  <si>
    <t>déductions</t>
  </si>
  <si>
    <t>Cot. Amat GE (0,041%)</t>
  </si>
  <si>
    <t>Cot. AC (1.1%)</t>
  </si>
  <si>
    <t>AVS/AI/APG+AC+AMAT</t>
  </si>
  <si>
    <t>Cot. LPP</t>
  </si>
  <si>
    <t>Cot. LAA NP</t>
  </si>
  <si>
    <t xml:space="preserve"> =total déductions</t>
  </si>
  <si>
    <t>6000 + (3x50)</t>
  </si>
  <si>
    <t xml:space="preserve"> = montant payé</t>
  </si>
  <si>
    <t xml:space="preserve"> - Repas de mini offerts (18x)</t>
  </si>
  <si>
    <t xml:space="preserve"> + Remboursement frais dépl. </t>
  </si>
  <si>
    <t>Allocations familiales versées par la caisse : 300.-</t>
  </si>
  <si>
    <t>Bénéfice</t>
  </si>
  <si>
    <t>10 x 1000</t>
  </si>
  <si>
    <t>( capital : 30'000.-, RG : 3'000.-)</t>
  </si>
  <si>
    <t>1ère RG ? -&gt; oui</t>
  </si>
  <si>
    <t>(5% x 4'000.-)</t>
  </si>
  <si>
    <t>1er dividende</t>
  </si>
  <si>
    <t>30000 x 5%</t>
  </si>
  <si>
    <t>Ben. Reporté</t>
  </si>
  <si>
    <t>(1ère année…)</t>
  </si>
  <si>
    <t>Reste à répartir</t>
  </si>
  <si>
    <t>tantièmes</t>
  </si>
  <si>
    <t>Superdividende</t>
  </si>
  <si>
    <t>30000 x 2%</t>
  </si>
  <si>
    <t>Réserve spéciale</t>
  </si>
  <si>
    <t>Bénéfice reporté an prochain</t>
  </si>
  <si>
    <t>Répartition du bénéfice (n° 10)</t>
  </si>
  <si>
    <t>(énoncé)</t>
  </si>
  <si>
    <t>Bulletin de salaire (n°9)</t>
  </si>
  <si>
    <t>Damaris / Déc. 2014</t>
  </si>
  <si>
    <t>A l'examen, tous les taux vous seront donnés</t>
  </si>
  <si>
    <t>donc pas de panique</t>
  </si>
  <si>
    <t>Achats de Marchandises</t>
  </si>
  <si>
    <t>TVA Recup. S. march.</t>
  </si>
  <si>
    <t>6000 x 1,02</t>
  </si>
  <si>
    <t>6000 x 1,10 x 8%</t>
  </si>
  <si>
    <t>Mobilier</t>
  </si>
  <si>
    <t>TVA due</t>
  </si>
  <si>
    <t>TVA Recup. S. Inv. Et ace</t>
  </si>
  <si>
    <t>10000 = 108%, 8% = ?</t>
  </si>
  <si>
    <t>Téléphone</t>
  </si>
  <si>
    <t>124 = 108%, 8% = ?</t>
  </si>
  <si>
    <t>Titres de plac. CT</t>
  </si>
  <si>
    <t>Produits de Plac. Fin.</t>
  </si>
  <si>
    <t>Charges de Plac. Fin.</t>
  </si>
  <si>
    <t>Produits de plac. Fin.</t>
  </si>
  <si>
    <t>14% x 10 x 20</t>
  </si>
  <si>
    <t>IA a récup.</t>
  </si>
  <si>
    <t>28 x 35%</t>
  </si>
  <si>
    <t>Salaires à payer</t>
  </si>
  <si>
    <t>Ch. Immeuble</t>
  </si>
  <si>
    <t>Immeuble</t>
  </si>
  <si>
    <t>amort. 15j x 4% x 2000000</t>
  </si>
  <si>
    <t>Débieur acheteur</t>
  </si>
  <si>
    <t>Vente de l'immeuble</t>
  </si>
  <si>
    <t>Prod. Exceptionnels</t>
  </si>
  <si>
    <t>21000000-(2000000-(2000000 x 4% x 32,5/12mois))</t>
  </si>
  <si>
    <t>Dette hypotécaire</t>
  </si>
  <si>
    <t>Débiteur acheteur</t>
  </si>
  <si>
    <t>Charges immeubles</t>
  </si>
  <si>
    <t>Reprise dette</t>
  </si>
  <si>
    <t>1750000 x 3% x 8,5 / 12</t>
  </si>
  <si>
    <t>Produits d'immeubles</t>
  </si>
  <si>
    <t>Moitié des loyers de janvier</t>
  </si>
  <si>
    <t>Charges d'immeubles</t>
  </si>
  <si>
    <t>Mazout</t>
  </si>
  <si>
    <t>3600 x 11,5 / 12</t>
  </si>
  <si>
    <t>solde du débiteur acheteur</t>
  </si>
  <si>
    <t>Poste</t>
  </si>
  <si>
    <t>Débiteurs douteux</t>
  </si>
  <si>
    <t>RR Obtenus</t>
  </si>
  <si>
    <t>Liquidités</t>
  </si>
  <si>
    <t>6000 x 1.05 x 10%</t>
  </si>
  <si>
    <t>6000 x 1.05 x 90%</t>
  </si>
  <si>
    <t>Ch. Fin. / Achats March.</t>
  </si>
  <si>
    <t>Loyer</t>
  </si>
  <si>
    <t>Produits d'immeuble</t>
  </si>
  <si>
    <t>1000 x 2,5%</t>
  </si>
  <si>
    <t>3/4 TTC</t>
  </si>
  <si>
    <t>1/4 HT</t>
  </si>
  <si>
    <t>1/4 TVA</t>
  </si>
  <si>
    <t>Entretien immeuble</t>
  </si>
  <si>
    <t>Perte sur débiteurs</t>
  </si>
  <si>
    <t>Ventes de marchandises</t>
  </si>
  <si>
    <t>4000 = 80%, 100% = ?</t>
  </si>
  <si>
    <t>(pas indiqué : montant ht)</t>
  </si>
  <si>
    <t>824000 x 1,84 % - 14'999.60</t>
  </si>
  <si>
    <t>Capital-Social</t>
  </si>
  <si>
    <t>Frais d'émission</t>
  </si>
  <si>
    <t>3000 + 1080</t>
  </si>
  <si>
    <t>Réserve générale</t>
  </si>
  <si>
    <t>1c</t>
  </si>
  <si>
    <t>Privé, B</t>
  </si>
  <si>
    <t>Capital-social</t>
  </si>
  <si>
    <t>10% RG</t>
  </si>
  <si>
    <t>10000 x 104%</t>
  </si>
  <si>
    <t>Exercice 1  - CONC / Correction</t>
  </si>
  <si>
    <t>Cot. AVS/AI/APG (5.125%)</t>
  </si>
  <si>
    <t>pas d'apgm dans cette société</t>
  </si>
  <si>
    <t>Frais de gestion avs : 6312 x 10,25% x 1,85%</t>
  </si>
  <si>
    <t>Exercice 2 - Journalisation dans la SA</t>
  </si>
  <si>
    <t>Adresse entreprise</t>
  </si>
  <si>
    <t>autres éléments</t>
  </si>
  <si>
    <t>Genève le, date du jour</t>
  </si>
  <si>
    <t>Cotisation ALFA</t>
  </si>
  <si>
    <t>Dette ALFA</t>
  </si>
  <si>
    <t>1.9 % x 6312</t>
  </si>
  <si>
    <t>payé le xxx, sur compte num. xxx</t>
  </si>
  <si>
    <t>Adresse Damaris</t>
  </si>
  <si>
    <t>Numéro AVS</t>
  </si>
  <si>
    <t>Décompte TVA</t>
  </si>
  <si>
    <t>décompte déjà fait</t>
  </si>
  <si>
    <t>10000 x 1,25 x 276/360</t>
  </si>
  <si>
    <t>Réserve légale issue du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</si>
</sst>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Garamond"/>
      <family val="1"/>
    </font>
    <font>
      <b/>
      <u/>
      <sz val="13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Garamond"/>
      <family val="1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theme="1"/>
      <name val="Arial"/>
      <family val="2"/>
    </font>
    <font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164" fontId="7" fillId="0" borderId="1" xfId="65" applyFont="1" applyBorder="1"/>
    <xf numFmtId="164" fontId="5" fillId="0" borderId="0" xfId="65" applyFont="1"/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1" fillId="0" borderId="3" xfId="0" applyFont="1" applyBorder="1"/>
    <xf numFmtId="0" fontId="13" fillId="0" borderId="4" xfId="0" applyFont="1" applyBorder="1" applyAlignment="1">
      <alignment horizontal="right"/>
    </xf>
    <xf numFmtId="0" fontId="11" fillId="0" borderId="4" xfId="0" applyFont="1" applyBorder="1"/>
    <xf numFmtId="0" fontId="12" fillId="0" borderId="5" xfId="0" applyFont="1" applyBorder="1"/>
    <xf numFmtId="0" fontId="13" fillId="0" borderId="0" xfId="0" applyFont="1" applyBorder="1"/>
    <xf numFmtId="0" fontId="13" fillId="0" borderId="6" xfId="0" applyFont="1" applyBorder="1" applyAlignment="1">
      <alignment horizontal="right"/>
    </xf>
    <xf numFmtId="0" fontId="11" fillId="0" borderId="0" xfId="0" applyFont="1" applyBorder="1"/>
    <xf numFmtId="0" fontId="11" fillId="0" borderId="6" xfId="0" applyFont="1" applyBorder="1"/>
    <xf numFmtId="0" fontId="11" fillId="0" borderId="5" xfId="0" applyFont="1" applyBorder="1"/>
    <xf numFmtId="0" fontId="11" fillId="0" borderId="6" xfId="0" applyFont="1" applyBorder="1" applyAlignment="1">
      <alignment horizontal="right"/>
    </xf>
    <xf numFmtId="0" fontId="14" fillId="0" borderId="5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" fontId="11" fillId="0" borderId="6" xfId="0" applyNumberFormat="1" applyFont="1" applyBorder="1"/>
    <xf numFmtId="4" fontId="11" fillId="0" borderId="0" xfId="0" applyNumberFormat="1" applyFont="1" applyBorder="1"/>
    <xf numFmtId="0" fontId="11" fillId="0" borderId="5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9" fillId="0" borderId="6" xfId="0" applyNumberFormat="1" applyFont="1" applyBorder="1"/>
    <xf numFmtId="0" fontId="14" fillId="0" borderId="5" xfId="0" applyFont="1" applyBorder="1"/>
    <xf numFmtId="4" fontId="14" fillId="0" borderId="0" xfId="0" applyNumberFormat="1" applyFont="1" applyBorder="1"/>
    <xf numFmtId="0" fontId="11" fillId="0" borderId="0" xfId="0" applyFont="1"/>
    <xf numFmtId="0" fontId="14" fillId="0" borderId="7" xfId="0" applyFont="1" applyBorder="1"/>
    <xf numFmtId="4" fontId="14" fillId="0" borderId="8" xfId="0" applyNumberFormat="1" applyFont="1" applyBorder="1"/>
    <xf numFmtId="0" fontId="11" fillId="0" borderId="9" xfId="0" applyFont="1" applyBorder="1"/>
    <xf numFmtId="0" fontId="9" fillId="0" borderId="0" xfId="0" applyFont="1"/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</cellXfs>
  <cellStyles count="8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Milliers" xfId="65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"/>
  <sheetViews>
    <sheetView tabSelected="1" workbookViewId="0">
      <selection activeCell="D37" sqref="D37"/>
    </sheetView>
  </sheetViews>
  <sheetFormatPr baseColWidth="10" defaultRowHeight="15" x14ac:dyDescent="0.2"/>
  <cols>
    <col min="1" max="1" width="3.6640625" style="1" customWidth="1"/>
    <col min="2" max="3" width="20" style="1" customWidth="1"/>
    <col min="4" max="4" width="23.6640625" style="1" customWidth="1"/>
    <col min="5" max="6" width="12.6640625" style="1" customWidth="1"/>
    <col min="7" max="16384" width="10.83203125" style="1"/>
  </cols>
  <sheetData>
    <row r="1" spans="1:6" ht="17" x14ac:dyDescent="0.2">
      <c r="A1" s="2" t="s">
        <v>144</v>
      </c>
      <c r="B1" s="3"/>
      <c r="C1" s="3"/>
      <c r="D1" s="3"/>
      <c r="E1" s="3"/>
      <c r="F1" s="3"/>
    </row>
    <row r="2" spans="1:6" s="12" customFormat="1" ht="12" x14ac:dyDescent="0.15">
      <c r="A2" s="11" t="s">
        <v>4</v>
      </c>
      <c r="B2" s="11" t="s">
        <v>5</v>
      </c>
      <c r="C2" s="11" t="s">
        <v>6</v>
      </c>
      <c r="D2" s="11" t="s">
        <v>7</v>
      </c>
      <c r="E2" s="11" t="s">
        <v>5</v>
      </c>
      <c r="F2" s="11" t="s">
        <v>6</v>
      </c>
    </row>
    <row r="3" spans="1:6" s="12" customFormat="1" ht="13" x14ac:dyDescent="0.15">
      <c r="A3" s="13">
        <v>1</v>
      </c>
      <c r="B3" s="14" t="s">
        <v>0</v>
      </c>
      <c r="C3" s="14" t="s">
        <v>135</v>
      </c>
      <c r="D3" s="15" t="s">
        <v>8</v>
      </c>
      <c r="E3" s="16" t="s">
        <v>0</v>
      </c>
      <c r="F3" s="16">
        <v>30000</v>
      </c>
    </row>
    <row r="4" spans="1:6" s="12" customFormat="1" ht="13" x14ac:dyDescent="0.15">
      <c r="A4" s="13"/>
      <c r="B4" s="14" t="s">
        <v>0</v>
      </c>
      <c r="C4" s="14" t="s">
        <v>1</v>
      </c>
      <c r="D4" s="15" t="s">
        <v>9</v>
      </c>
      <c r="E4" s="16" t="s">
        <v>0</v>
      </c>
      <c r="F4" s="16">
        <v>7500</v>
      </c>
    </row>
    <row r="5" spans="1:6" s="12" customFormat="1" ht="13" x14ac:dyDescent="0.15">
      <c r="A5" s="13"/>
      <c r="B5" s="14" t="s">
        <v>2</v>
      </c>
      <c r="C5" s="14" t="s">
        <v>0</v>
      </c>
      <c r="D5" s="15" t="s">
        <v>10</v>
      </c>
      <c r="E5" s="16">
        <f>SUM(F3:F4)*0.6</f>
        <v>22500</v>
      </c>
      <c r="F5" s="16" t="s">
        <v>0</v>
      </c>
    </row>
    <row r="6" spans="1:6" s="12" customFormat="1" ht="13" x14ac:dyDescent="0.15">
      <c r="A6" s="13"/>
      <c r="B6" s="14" t="s">
        <v>3</v>
      </c>
      <c r="C6" s="14" t="s">
        <v>0</v>
      </c>
      <c r="D6" s="15" t="s">
        <v>11</v>
      </c>
      <c r="E6" s="16">
        <f>F3+F4-E5</f>
        <v>15000</v>
      </c>
      <c r="F6" s="16" t="s">
        <v>0</v>
      </c>
    </row>
    <row r="7" spans="1:6" s="12" customFormat="1" ht="13" x14ac:dyDescent="0.15">
      <c r="A7" s="13" t="s">
        <v>12</v>
      </c>
      <c r="B7" s="14" t="s">
        <v>13</v>
      </c>
      <c r="C7" s="14" t="s">
        <v>0</v>
      </c>
      <c r="D7" s="15"/>
      <c r="E7" s="16">
        <v>15000</v>
      </c>
      <c r="F7" s="16" t="s">
        <v>0</v>
      </c>
    </row>
    <row r="8" spans="1:6" s="12" customFormat="1" ht="13" x14ac:dyDescent="0.15">
      <c r="A8" s="13"/>
      <c r="B8" s="14" t="s">
        <v>14</v>
      </c>
      <c r="C8" s="14" t="s">
        <v>0</v>
      </c>
      <c r="D8" s="15"/>
      <c r="E8" s="16">
        <v>5000</v>
      </c>
      <c r="F8" s="16" t="s">
        <v>0</v>
      </c>
    </row>
    <row r="9" spans="1:6" s="12" customFormat="1" ht="13" x14ac:dyDescent="0.15">
      <c r="A9" s="13"/>
      <c r="B9" s="14" t="s">
        <v>15</v>
      </c>
      <c r="C9" s="14" t="s">
        <v>0</v>
      </c>
      <c r="D9" s="15"/>
      <c r="E9" s="16">
        <v>2000</v>
      </c>
      <c r="F9" s="16" t="s">
        <v>0</v>
      </c>
    </row>
    <row r="10" spans="1:6" s="12" customFormat="1" ht="13" x14ac:dyDescent="0.15">
      <c r="A10" s="13"/>
      <c r="B10" s="14" t="s">
        <v>0</v>
      </c>
      <c r="C10" s="14" t="s">
        <v>16</v>
      </c>
      <c r="D10" s="15" t="s">
        <v>17</v>
      </c>
      <c r="E10" s="16" t="s">
        <v>0</v>
      </c>
      <c r="F10" s="16">
        <f>E9*0.25</f>
        <v>500</v>
      </c>
    </row>
    <row r="11" spans="1:6" s="12" customFormat="1" ht="13" x14ac:dyDescent="0.15">
      <c r="A11" s="13"/>
      <c r="B11" s="14" t="s">
        <v>0</v>
      </c>
      <c r="C11" s="14" t="s">
        <v>2</v>
      </c>
      <c r="D11" s="15"/>
      <c r="E11" s="16" t="s">
        <v>0</v>
      </c>
      <c r="F11" s="16">
        <f>E5</f>
        <v>22500</v>
      </c>
    </row>
    <row r="12" spans="1:6" s="12" customFormat="1" ht="13" x14ac:dyDescent="0.15">
      <c r="A12" s="13"/>
      <c r="B12" s="14" t="s">
        <v>14</v>
      </c>
      <c r="C12" s="14" t="s">
        <v>0</v>
      </c>
      <c r="D12" s="15" t="s">
        <v>18</v>
      </c>
      <c r="E12" s="16">
        <v>1000</v>
      </c>
      <c r="F12" s="16" t="s">
        <v>0</v>
      </c>
    </row>
    <row r="13" spans="1:6" s="12" customFormat="1" ht="13" x14ac:dyDescent="0.15">
      <c r="A13" s="13" t="s">
        <v>20</v>
      </c>
      <c r="B13" s="14" t="s">
        <v>19</v>
      </c>
      <c r="C13" s="14" t="s">
        <v>0</v>
      </c>
      <c r="D13" s="15"/>
      <c r="E13" s="16">
        <v>10000</v>
      </c>
      <c r="F13" s="16" t="s">
        <v>0</v>
      </c>
    </row>
    <row r="14" spans="1:6" s="12" customFormat="1" ht="13" x14ac:dyDescent="0.15">
      <c r="A14" s="13"/>
      <c r="B14" s="14" t="s">
        <v>0</v>
      </c>
      <c r="C14" s="14" t="s">
        <v>3</v>
      </c>
      <c r="D14" s="15"/>
      <c r="E14" s="16" t="s">
        <v>0</v>
      </c>
      <c r="F14" s="16">
        <f>E6</f>
        <v>15000</v>
      </c>
    </row>
    <row r="15" spans="1:6" s="12" customFormat="1" ht="13" x14ac:dyDescent="0.15">
      <c r="A15" s="13"/>
      <c r="B15" s="14" t="s">
        <v>14</v>
      </c>
      <c r="C15" s="14" t="s">
        <v>0</v>
      </c>
      <c r="D15" s="15"/>
      <c r="E15" s="16">
        <v>5000</v>
      </c>
      <c r="F15" s="16" t="s">
        <v>0</v>
      </c>
    </row>
    <row r="16" spans="1:6" s="12" customFormat="1" ht="13" x14ac:dyDescent="0.15">
      <c r="A16" s="17" t="s">
        <v>139</v>
      </c>
      <c r="B16" s="14" t="s">
        <v>136</v>
      </c>
      <c r="C16" s="14" t="s">
        <v>22</v>
      </c>
      <c r="D16" s="15" t="s">
        <v>137</v>
      </c>
      <c r="E16" s="16">
        <v>4080</v>
      </c>
      <c r="F16" s="16">
        <v>4080</v>
      </c>
    </row>
    <row r="17" spans="1:6" s="12" customFormat="1" ht="13" x14ac:dyDescent="0.15">
      <c r="A17" s="18"/>
      <c r="B17" s="14" t="s">
        <v>1</v>
      </c>
      <c r="C17" s="14" t="s">
        <v>136</v>
      </c>
      <c r="D17" s="15"/>
      <c r="E17" s="16">
        <v>4080</v>
      </c>
      <c r="F17" s="16">
        <v>4080</v>
      </c>
    </row>
    <row r="18" spans="1:6" s="12" customFormat="1" ht="26" x14ac:dyDescent="0.15">
      <c r="A18" s="19"/>
      <c r="B18" s="14" t="s">
        <v>1</v>
      </c>
      <c r="C18" s="14" t="s">
        <v>161</v>
      </c>
      <c r="D18" s="15"/>
      <c r="E18" s="16">
        <f>7500-4080</f>
        <v>3420</v>
      </c>
      <c r="F18" s="16">
        <f>7500-4080</f>
        <v>3420</v>
      </c>
    </row>
    <row r="19" spans="1:6" s="12" customFormat="1" ht="13" x14ac:dyDescent="0.15">
      <c r="A19" s="20">
        <v>2</v>
      </c>
      <c r="B19" s="14" t="s">
        <v>21</v>
      </c>
      <c r="C19" s="14" t="s">
        <v>22</v>
      </c>
      <c r="D19" s="15" t="s">
        <v>23</v>
      </c>
      <c r="E19" s="16">
        <f>5000*1.08</f>
        <v>5400</v>
      </c>
      <c r="F19" s="16">
        <f>5000*1.08</f>
        <v>5400</v>
      </c>
    </row>
    <row r="20" spans="1:6" s="12" customFormat="1" ht="13" x14ac:dyDescent="0.15">
      <c r="A20" s="20">
        <v>3</v>
      </c>
      <c r="B20" s="14" t="s">
        <v>13</v>
      </c>
      <c r="C20" s="14" t="s">
        <v>24</v>
      </c>
      <c r="D20" s="15"/>
      <c r="E20" s="16">
        <v>7000</v>
      </c>
      <c r="F20" s="16">
        <v>7000</v>
      </c>
    </row>
    <row r="21" spans="1:6" s="12" customFormat="1" ht="13" x14ac:dyDescent="0.15">
      <c r="A21" s="20">
        <v>4</v>
      </c>
      <c r="B21" s="14" t="s">
        <v>26</v>
      </c>
      <c r="C21" s="14" t="s">
        <v>25</v>
      </c>
      <c r="D21" s="15"/>
      <c r="E21" s="16">
        <v>108</v>
      </c>
      <c r="F21" s="16">
        <v>108</v>
      </c>
    </row>
    <row r="22" spans="1:6" s="12" customFormat="1" ht="13" x14ac:dyDescent="0.15">
      <c r="A22" s="20">
        <v>5</v>
      </c>
      <c r="B22" s="14" t="s">
        <v>27</v>
      </c>
      <c r="C22" s="14"/>
      <c r="D22" s="15"/>
      <c r="E22" s="16"/>
      <c r="F22" s="16"/>
    </row>
    <row r="23" spans="1:6" s="12" customFormat="1" ht="13" x14ac:dyDescent="0.15">
      <c r="A23" s="20">
        <v>6</v>
      </c>
      <c r="B23" s="14" t="s">
        <v>22</v>
      </c>
      <c r="C23" s="14" t="s">
        <v>13</v>
      </c>
      <c r="D23" s="15"/>
      <c r="E23" s="16">
        <f>E19</f>
        <v>5400</v>
      </c>
      <c r="F23" s="16">
        <f>F19</f>
        <v>5400</v>
      </c>
    </row>
    <row r="24" spans="1:6" s="12" customFormat="1" ht="13" x14ac:dyDescent="0.15">
      <c r="A24" s="20">
        <v>7</v>
      </c>
      <c r="B24" s="14" t="s">
        <v>28</v>
      </c>
      <c r="C24" s="14" t="s">
        <v>140</v>
      </c>
      <c r="D24" s="15"/>
      <c r="E24" s="16">
        <v>300</v>
      </c>
      <c r="F24" s="16">
        <v>300</v>
      </c>
    </row>
    <row r="25" spans="1:6" s="12" customFormat="1" ht="13" x14ac:dyDescent="0.15">
      <c r="A25" s="17">
        <v>8</v>
      </c>
      <c r="B25" s="14" t="s">
        <v>29</v>
      </c>
      <c r="C25" s="14" t="s">
        <v>0</v>
      </c>
      <c r="D25" s="15"/>
      <c r="E25" s="16">
        <f>F26+F27</f>
        <v>12500</v>
      </c>
      <c r="F25" s="16" t="s">
        <v>0</v>
      </c>
    </row>
    <row r="26" spans="1:6" s="12" customFormat="1" ht="13" x14ac:dyDescent="0.15">
      <c r="A26" s="18"/>
      <c r="B26" s="14" t="s">
        <v>0</v>
      </c>
      <c r="C26" s="14" t="s">
        <v>141</v>
      </c>
      <c r="D26" s="15" t="s">
        <v>60</v>
      </c>
      <c r="E26" s="16" t="s">
        <v>0</v>
      </c>
      <c r="F26" s="16">
        <v>10000</v>
      </c>
    </row>
    <row r="27" spans="1:6" s="12" customFormat="1" ht="13" x14ac:dyDescent="0.15">
      <c r="A27" s="18"/>
      <c r="B27" s="14" t="s">
        <v>0</v>
      </c>
      <c r="C27" s="14" t="s">
        <v>1</v>
      </c>
      <c r="D27" s="15"/>
      <c r="E27" s="16" t="s">
        <v>0</v>
      </c>
      <c r="F27" s="16">
        <f>F26*0.25</f>
        <v>2500</v>
      </c>
    </row>
    <row r="28" spans="1:6" s="12" customFormat="1" ht="13" x14ac:dyDescent="0.15">
      <c r="A28" s="18"/>
      <c r="B28" s="14" t="s">
        <v>13</v>
      </c>
      <c r="C28" s="14" t="s">
        <v>29</v>
      </c>
      <c r="D28" s="15"/>
      <c r="E28" s="16">
        <f>E25</f>
        <v>12500</v>
      </c>
      <c r="F28" s="16">
        <f>E25</f>
        <v>12500</v>
      </c>
    </row>
    <row r="29" spans="1:6" s="12" customFormat="1" ht="13" x14ac:dyDescent="0.15">
      <c r="A29" s="19"/>
      <c r="B29" s="14" t="s">
        <v>1</v>
      </c>
      <c r="C29" s="14" t="s">
        <v>138</v>
      </c>
      <c r="D29" s="15"/>
      <c r="E29" s="16">
        <v>2500</v>
      </c>
      <c r="F29" s="16">
        <f>E29</f>
        <v>2500</v>
      </c>
    </row>
    <row r="30" spans="1:6" s="12" customFormat="1" ht="13" x14ac:dyDescent="0.15">
      <c r="A30" s="13">
        <v>9</v>
      </c>
      <c r="B30" s="14" t="s">
        <v>30</v>
      </c>
      <c r="C30" s="14" t="s">
        <v>0</v>
      </c>
      <c r="D30" s="15" t="s">
        <v>54</v>
      </c>
      <c r="E30" s="16">
        <f>6000+150</f>
        <v>6150</v>
      </c>
      <c r="F30" s="16" t="s">
        <v>0</v>
      </c>
    </row>
    <row r="31" spans="1:6" s="12" customFormat="1" ht="13" x14ac:dyDescent="0.15">
      <c r="A31" s="13"/>
      <c r="B31" s="14" t="s">
        <v>0</v>
      </c>
      <c r="C31" s="14" t="s">
        <v>31</v>
      </c>
      <c r="D31" s="15" t="s">
        <v>50</v>
      </c>
      <c r="E31" s="16" t="s">
        <v>0</v>
      </c>
      <c r="F31" s="16">
        <f>SUM(C51:C53)</f>
        <v>395.55</v>
      </c>
    </row>
    <row r="32" spans="1:6" s="12" customFormat="1" ht="13" x14ac:dyDescent="0.15">
      <c r="A32" s="13"/>
      <c r="B32" s="14" t="s">
        <v>0</v>
      </c>
      <c r="C32" s="14" t="s">
        <v>32</v>
      </c>
      <c r="D32" s="15" t="s">
        <v>33</v>
      </c>
      <c r="E32" s="16" t="s">
        <v>0</v>
      </c>
      <c r="F32" s="16">
        <f>MROUND((6312-(20000/12))*0.04,0.05)</f>
        <v>185.8</v>
      </c>
    </row>
    <row r="33" spans="1:6" s="12" customFormat="1" ht="13" x14ac:dyDescent="0.15">
      <c r="A33" s="13"/>
      <c r="B33" s="14" t="s">
        <v>0</v>
      </c>
      <c r="C33" s="14" t="s">
        <v>37</v>
      </c>
      <c r="D33" s="15" t="s">
        <v>38</v>
      </c>
      <c r="E33" s="16" t="s">
        <v>0</v>
      </c>
      <c r="F33" s="16">
        <f>MROUND(6312*0.025,0.05)</f>
        <v>157.80000000000001</v>
      </c>
    </row>
    <row r="34" spans="1:6" s="12" customFormat="1" ht="13" x14ac:dyDescent="0.15">
      <c r="A34" s="13"/>
      <c r="B34" s="14" t="s">
        <v>34</v>
      </c>
      <c r="C34" s="14" t="s">
        <v>0</v>
      </c>
      <c r="D34" s="15" t="s">
        <v>35</v>
      </c>
      <c r="E34" s="16">
        <f>MROUND(127*0.54,0.05)</f>
        <v>68.600000000000009</v>
      </c>
      <c r="F34" s="16" t="s">
        <v>0</v>
      </c>
    </row>
    <row r="35" spans="1:6" s="12" customFormat="1" ht="13" x14ac:dyDescent="0.15">
      <c r="A35" s="13"/>
      <c r="B35" s="14" t="s">
        <v>0</v>
      </c>
      <c r="C35" s="14" t="s">
        <v>36</v>
      </c>
      <c r="D35" s="15"/>
      <c r="E35" s="16" t="s">
        <v>0</v>
      </c>
      <c r="F35" s="16">
        <f>E30+E34-F31-F32-F33</f>
        <v>5479.45</v>
      </c>
    </row>
    <row r="36" spans="1:6" s="12" customFormat="1" ht="13" x14ac:dyDescent="0.15">
      <c r="A36" s="13"/>
      <c r="B36" s="14" t="s">
        <v>39</v>
      </c>
      <c r="C36" s="14" t="s">
        <v>31</v>
      </c>
      <c r="D36" s="15" t="s">
        <v>41</v>
      </c>
      <c r="E36" s="16">
        <f>F31</f>
        <v>395.55</v>
      </c>
      <c r="F36" s="16">
        <f>F31</f>
        <v>395.55</v>
      </c>
    </row>
    <row r="37" spans="1:6" s="12" customFormat="1" ht="26" x14ac:dyDescent="0.15">
      <c r="A37" s="13"/>
      <c r="B37" s="14" t="s">
        <v>39</v>
      </c>
      <c r="C37" s="14" t="s">
        <v>31</v>
      </c>
      <c r="D37" s="14" t="s">
        <v>147</v>
      </c>
      <c r="E37" s="16">
        <f>MROUND(6312*10.25*1.85/100/100,0.05)</f>
        <v>11.950000000000001</v>
      </c>
      <c r="F37" s="16">
        <f>MROUND(6312*10.25*1.85/100/100,0.05)</f>
        <v>11.950000000000001</v>
      </c>
    </row>
    <row r="38" spans="1:6" s="12" customFormat="1" ht="13" x14ac:dyDescent="0.15">
      <c r="A38" s="13"/>
      <c r="B38" s="14" t="s">
        <v>152</v>
      </c>
      <c r="C38" s="14" t="s">
        <v>153</v>
      </c>
      <c r="D38" s="14" t="s">
        <v>154</v>
      </c>
      <c r="E38" s="16">
        <v>119.95</v>
      </c>
      <c r="F38" s="16">
        <v>119.95</v>
      </c>
    </row>
    <row r="39" spans="1:6" s="12" customFormat="1" ht="13" x14ac:dyDescent="0.15">
      <c r="A39" s="13"/>
      <c r="B39" s="14" t="s">
        <v>40</v>
      </c>
      <c r="C39" s="14" t="s">
        <v>32</v>
      </c>
      <c r="D39" s="15" t="s">
        <v>42</v>
      </c>
      <c r="E39" s="16">
        <v>371.6</v>
      </c>
      <c r="F39" s="16">
        <f>F32*2</f>
        <v>371.6</v>
      </c>
    </row>
    <row r="40" spans="1:6" s="12" customFormat="1" ht="12" x14ac:dyDescent="0.15">
      <c r="A40" s="21" t="s">
        <v>76</v>
      </c>
      <c r="B40" s="22"/>
      <c r="C40" s="23" t="s">
        <v>77</v>
      </c>
      <c r="D40" s="21" t="s">
        <v>74</v>
      </c>
      <c r="E40" s="22"/>
      <c r="F40" s="24"/>
    </row>
    <row r="41" spans="1:6" s="12" customFormat="1" ht="12" x14ac:dyDescent="0.15">
      <c r="A41" s="25"/>
      <c r="B41" s="26" t="s">
        <v>151</v>
      </c>
      <c r="C41" s="27"/>
      <c r="D41" s="25"/>
      <c r="E41" s="28"/>
      <c r="F41" s="29"/>
    </row>
    <row r="42" spans="1:6" s="12" customFormat="1" ht="12" x14ac:dyDescent="0.15">
      <c r="A42" s="30"/>
      <c r="B42" s="28" t="s">
        <v>156</v>
      </c>
      <c r="C42" s="31" t="s">
        <v>149</v>
      </c>
      <c r="D42" s="30"/>
      <c r="E42" s="28"/>
      <c r="F42" s="29"/>
    </row>
    <row r="43" spans="1:6" s="12" customFormat="1" ht="12" x14ac:dyDescent="0.15">
      <c r="A43" s="30"/>
      <c r="B43" s="28" t="s">
        <v>157</v>
      </c>
      <c r="C43" s="31"/>
      <c r="D43" s="30"/>
      <c r="E43" s="28"/>
      <c r="F43" s="29"/>
    </row>
    <row r="44" spans="1:6" s="12" customFormat="1" ht="12" x14ac:dyDescent="0.15">
      <c r="A44" s="30"/>
      <c r="B44" s="28"/>
      <c r="C44" s="31"/>
      <c r="D44" s="30"/>
      <c r="E44" s="28"/>
      <c r="F44" s="29"/>
    </row>
    <row r="45" spans="1:6" s="12" customFormat="1" ht="12" x14ac:dyDescent="0.15">
      <c r="A45" s="32" t="s">
        <v>30</v>
      </c>
      <c r="B45" s="33"/>
      <c r="C45" s="34">
        <v>4000</v>
      </c>
      <c r="D45" s="30" t="s">
        <v>59</v>
      </c>
      <c r="E45" s="35">
        <v>4000</v>
      </c>
      <c r="F45" s="29"/>
    </row>
    <row r="46" spans="1:6" s="12" customFormat="1" ht="12" x14ac:dyDescent="0.15">
      <c r="A46" s="36" t="s">
        <v>46</v>
      </c>
      <c r="B46" s="37"/>
      <c r="C46" s="34">
        <v>2000</v>
      </c>
      <c r="D46" s="30" t="s">
        <v>62</v>
      </c>
      <c r="E46" s="35">
        <f>4000*0.05</f>
        <v>200</v>
      </c>
      <c r="F46" s="29" t="s">
        <v>63</v>
      </c>
    </row>
    <row r="47" spans="1:6" s="12" customFormat="1" ht="12" x14ac:dyDescent="0.15">
      <c r="A47" s="36" t="s">
        <v>44</v>
      </c>
      <c r="B47" s="37"/>
      <c r="C47" s="34">
        <v>150</v>
      </c>
      <c r="D47" s="30" t="s">
        <v>61</v>
      </c>
      <c r="E47" s="35"/>
      <c r="F47" s="29"/>
    </row>
    <row r="48" spans="1:6" s="12" customFormat="1" ht="12" x14ac:dyDescent="0.15">
      <c r="A48" s="36" t="s">
        <v>45</v>
      </c>
      <c r="B48" s="37"/>
      <c r="C48" s="34">
        <f>18*9</f>
        <v>162</v>
      </c>
      <c r="D48" s="30" t="s">
        <v>64</v>
      </c>
      <c r="E48" s="35">
        <f>30000*0.05</f>
        <v>1500</v>
      </c>
      <c r="F48" s="29" t="s">
        <v>65</v>
      </c>
    </row>
    <row r="49" spans="1:6" s="12" customFormat="1" ht="12" x14ac:dyDescent="0.15">
      <c r="A49" s="38" t="s">
        <v>43</v>
      </c>
      <c r="B49" s="39"/>
      <c r="C49" s="40">
        <f>C45+C46+C47+C48</f>
        <v>6312</v>
      </c>
      <c r="D49" s="30" t="s">
        <v>66</v>
      </c>
      <c r="E49" s="35">
        <v>0</v>
      </c>
      <c r="F49" s="29" t="s">
        <v>67</v>
      </c>
    </row>
    <row r="50" spans="1:6" s="12" customFormat="1" ht="12" x14ac:dyDescent="0.15">
      <c r="A50" s="32" t="s">
        <v>47</v>
      </c>
      <c r="B50" s="33"/>
      <c r="C50" s="34"/>
      <c r="D50" s="41" t="s">
        <v>68</v>
      </c>
      <c r="E50" s="42">
        <f>E45-E46-E48</f>
        <v>2300</v>
      </c>
      <c r="F50" s="29"/>
    </row>
    <row r="51" spans="1:6" s="12" customFormat="1" ht="12" x14ac:dyDescent="0.15">
      <c r="A51" s="36" t="s">
        <v>145</v>
      </c>
      <c r="B51" s="37"/>
      <c r="C51" s="34">
        <f>MROUND(C$49*5.125/100,0.05)</f>
        <v>323.5</v>
      </c>
      <c r="D51" s="30" t="s">
        <v>69</v>
      </c>
      <c r="E51" s="35">
        <v>0</v>
      </c>
      <c r="F51" s="29" t="s">
        <v>75</v>
      </c>
    </row>
    <row r="52" spans="1:6" s="12" customFormat="1" ht="12" x14ac:dyDescent="0.15">
      <c r="A52" s="36" t="s">
        <v>49</v>
      </c>
      <c r="B52" s="37"/>
      <c r="C52" s="34">
        <f>MROUND(C$49*1.1/100,0.05)</f>
        <v>69.45</v>
      </c>
      <c r="D52" s="30" t="s">
        <v>70</v>
      </c>
      <c r="E52" s="35">
        <f>30000*0.02</f>
        <v>600</v>
      </c>
      <c r="F52" s="29" t="s">
        <v>71</v>
      </c>
    </row>
    <row r="53" spans="1:6" s="12" customFormat="1" ht="12" x14ac:dyDescent="0.15">
      <c r="A53" s="36" t="s">
        <v>48</v>
      </c>
      <c r="B53" s="37"/>
      <c r="C53" s="34">
        <f>MROUND(C$49*0.041/100,0.05)</f>
        <v>2.6</v>
      </c>
      <c r="D53" s="43" t="s">
        <v>142</v>
      </c>
      <c r="E53" s="43">
        <v>60</v>
      </c>
      <c r="F53" s="43"/>
    </row>
    <row r="54" spans="1:6" s="12" customFormat="1" ht="12" x14ac:dyDescent="0.15">
      <c r="A54" s="36" t="s">
        <v>51</v>
      </c>
      <c r="B54" s="37"/>
      <c r="C54" s="34">
        <f>F32</f>
        <v>185.8</v>
      </c>
      <c r="D54" s="30" t="s">
        <v>72</v>
      </c>
      <c r="E54" s="35">
        <v>1000</v>
      </c>
      <c r="F54" s="29"/>
    </row>
    <row r="55" spans="1:6" s="12" customFormat="1" ht="12" x14ac:dyDescent="0.15">
      <c r="A55" s="36" t="s">
        <v>52</v>
      </c>
      <c r="B55" s="37"/>
      <c r="C55" s="34">
        <f>F33</f>
        <v>157.80000000000001</v>
      </c>
      <c r="D55" s="44" t="s">
        <v>73</v>
      </c>
      <c r="E55" s="45">
        <v>640</v>
      </c>
      <c r="F55" s="46"/>
    </row>
    <row r="56" spans="1:6" s="12" customFormat="1" ht="12" x14ac:dyDescent="0.15">
      <c r="A56" s="38" t="s">
        <v>53</v>
      </c>
      <c r="B56" s="39"/>
      <c r="C56" s="40">
        <f>SUM(C51:C55)</f>
        <v>739.15000000000009</v>
      </c>
      <c r="D56" s="43"/>
      <c r="E56" s="43"/>
      <c r="F56" s="43"/>
    </row>
    <row r="57" spans="1:6" s="12" customFormat="1" ht="12" x14ac:dyDescent="0.15">
      <c r="A57" s="32" t="s">
        <v>150</v>
      </c>
      <c r="B57" s="33"/>
      <c r="C57" s="34" t="s">
        <v>151</v>
      </c>
      <c r="D57" s="47" t="s">
        <v>78</v>
      </c>
      <c r="E57" s="43"/>
      <c r="F57" s="43"/>
    </row>
    <row r="58" spans="1:6" s="12" customFormat="1" ht="12" x14ac:dyDescent="0.15">
      <c r="A58" s="48" t="s">
        <v>56</v>
      </c>
      <c r="B58" s="49"/>
      <c r="C58" s="34">
        <f>C48</f>
        <v>162</v>
      </c>
      <c r="D58" s="47" t="s">
        <v>79</v>
      </c>
      <c r="E58" s="43"/>
      <c r="F58" s="43"/>
    </row>
    <row r="59" spans="1:6" s="12" customFormat="1" ht="12" x14ac:dyDescent="0.15">
      <c r="A59" s="48" t="s">
        <v>57</v>
      </c>
      <c r="B59" s="49"/>
      <c r="C59" s="34">
        <f>E34</f>
        <v>68.600000000000009</v>
      </c>
      <c r="D59" s="47"/>
      <c r="E59" s="43"/>
      <c r="F59" s="43"/>
    </row>
    <row r="60" spans="1:6" s="12" customFormat="1" ht="12" x14ac:dyDescent="0.15">
      <c r="A60" s="38" t="s">
        <v>55</v>
      </c>
      <c r="B60" s="39"/>
      <c r="C60" s="40">
        <f>C49-C56-C58+C59</f>
        <v>5479.4500000000007</v>
      </c>
      <c r="D60" s="43"/>
      <c r="E60" s="43"/>
      <c r="F60" s="43"/>
    </row>
    <row r="61" spans="1:6" s="12" customFormat="1" ht="12" x14ac:dyDescent="0.15">
      <c r="A61" s="36" t="s">
        <v>58</v>
      </c>
      <c r="B61" s="37"/>
      <c r="C61" s="50"/>
      <c r="D61" s="43"/>
      <c r="E61" s="43"/>
      <c r="F61" s="43"/>
    </row>
    <row r="62" spans="1:6" s="12" customFormat="1" ht="12" x14ac:dyDescent="0.15">
      <c r="A62" s="51" t="s">
        <v>155</v>
      </c>
      <c r="B62" s="52"/>
      <c r="C62" s="53"/>
      <c r="D62" s="43"/>
      <c r="E62" s="43"/>
      <c r="F62" s="43"/>
    </row>
    <row r="63" spans="1:6" s="12" customFormat="1" ht="12" x14ac:dyDescent="0.15">
      <c r="A63" s="54"/>
      <c r="B63" s="54"/>
      <c r="C63" s="54"/>
      <c r="D63" s="43"/>
      <c r="E63" s="43"/>
      <c r="F63" s="43"/>
    </row>
    <row r="64" spans="1:6" s="12" customFormat="1" ht="12" x14ac:dyDescent="0.15">
      <c r="A64" s="55" t="s">
        <v>146</v>
      </c>
      <c r="B64" s="55"/>
      <c r="C64" s="55"/>
      <c r="D64" s="43"/>
      <c r="E64" s="43"/>
      <c r="F64" s="43"/>
    </row>
    <row r="65" spans="1:6" ht="17" x14ac:dyDescent="0.2">
      <c r="A65" s="2" t="s">
        <v>148</v>
      </c>
      <c r="B65" s="3"/>
      <c r="C65" s="3"/>
      <c r="D65" s="3"/>
      <c r="E65" s="3"/>
      <c r="F65" s="3"/>
    </row>
    <row r="66" spans="1:6" x14ac:dyDescent="0.2">
      <c r="A66" s="4" t="s">
        <v>4</v>
      </c>
      <c r="B66" s="4" t="s">
        <v>5</v>
      </c>
      <c r="C66" s="4" t="s">
        <v>6</v>
      </c>
      <c r="D66" s="4" t="s">
        <v>7</v>
      </c>
      <c r="E66" s="4" t="s">
        <v>5</v>
      </c>
      <c r="F66" s="4" t="s">
        <v>6</v>
      </c>
    </row>
    <row r="67" spans="1:6" x14ac:dyDescent="0.2">
      <c r="A67" s="10">
        <v>1</v>
      </c>
      <c r="B67" s="6" t="s">
        <v>80</v>
      </c>
      <c r="C67" s="6" t="s">
        <v>22</v>
      </c>
      <c r="D67" s="6" t="s">
        <v>82</v>
      </c>
      <c r="E67" s="8">
        <f>MROUND(6000*1.02,0.05)</f>
        <v>6120</v>
      </c>
      <c r="F67" s="8">
        <f>MROUND(6000*1.02,0.05)</f>
        <v>6120</v>
      </c>
    </row>
    <row r="68" spans="1:6" x14ac:dyDescent="0.2">
      <c r="A68" s="10"/>
      <c r="B68" s="6" t="s">
        <v>28</v>
      </c>
      <c r="C68" s="6" t="s">
        <v>0</v>
      </c>
      <c r="D68" s="6"/>
      <c r="E68" s="8">
        <v>50</v>
      </c>
      <c r="F68" s="8" t="s">
        <v>0</v>
      </c>
    </row>
    <row r="69" spans="1:6" x14ac:dyDescent="0.2">
      <c r="A69" s="10"/>
      <c r="B69" s="6" t="s">
        <v>81</v>
      </c>
      <c r="C69" s="6" t="s">
        <v>0</v>
      </c>
      <c r="D69" s="6" t="s">
        <v>83</v>
      </c>
      <c r="E69" s="8">
        <f>6000*1.1*0.08</f>
        <v>528.00000000000011</v>
      </c>
      <c r="F69" s="8" t="s">
        <v>0</v>
      </c>
    </row>
    <row r="70" spans="1:6" x14ac:dyDescent="0.2">
      <c r="A70" s="10"/>
      <c r="B70" s="6" t="s">
        <v>0</v>
      </c>
      <c r="C70" s="6" t="s">
        <v>22</v>
      </c>
      <c r="D70" s="6"/>
      <c r="E70" s="8" t="s">
        <v>0</v>
      </c>
      <c r="F70" s="8">
        <f>E68+E69</f>
        <v>578.00000000000011</v>
      </c>
    </row>
    <row r="71" spans="1:6" x14ac:dyDescent="0.2">
      <c r="A71" s="10">
        <v>2</v>
      </c>
      <c r="B71" s="6" t="s">
        <v>84</v>
      </c>
      <c r="C71" s="6" t="s">
        <v>0</v>
      </c>
      <c r="D71" s="6"/>
      <c r="E71" s="8">
        <v>9259.25</v>
      </c>
      <c r="F71" s="8" t="s">
        <v>0</v>
      </c>
    </row>
    <row r="72" spans="1:6" x14ac:dyDescent="0.2">
      <c r="A72" s="10"/>
      <c r="B72" s="6" t="s">
        <v>86</v>
      </c>
      <c r="C72" s="6" t="s">
        <v>0</v>
      </c>
      <c r="D72" s="6" t="s">
        <v>87</v>
      </c>
      <c r="E72" s="8">
        <v>740.75</v>
      </c>
      <c r="F72" s="8" t="s">
        <v>0</v>
      </c>
    </row>
    <row r="73" spans="1:6" x14ac:dyDescent="0.2">
      <c r="A73" s="10"/>
      <c r="B73" s="6" t="s">
        <v>0</v>
      </c>
      <c r="C73" s="6" t="s">
        <v>22</v>
      </c>
      <c r="D73" s="6"/>
      <c r="E73" s="8" t="s">
        <v>0</v>
      </c>
      <c r="F73" s="8">
        <v>10000</v>
      </c>
    </row>
    <row r="74" spans="1:6" x14ac:dyDescent="0.2">
      <c r="A74" s="10">
        <v>3</v>
      </c>
      <c r="B74" s="6" t="s">
        <v>0</v>
      </c>
      <c r="C74" s="6" t="s">
        <v>13</v>
      </c>
      <c r="D74" s="6"/>
      <c r="E74" s="8" t="s">
        <v>0</v>
      </c>
      <c r="F74" s="8">
        <v>124</v>
      </c>
    </row>
    <row r="75" spans="1:6" x14ac:dyDescent="0.2">
      <c r="A75" s="10"/>
      <c r="B75" s="6" t="s">
        <v>86</v>
      </c>
      <c r="C75" s="6" t="s">
        <v>0</v>
      </c>
      <c r="D75" s="6" t="s">
        <v>89</v>
      </c>
      <c r="E75" s="8">
        <f>F74-E76</f>
        <v>9.2000000000000028</v>
      </c>
      <c r="F75" s="8" t="s">
        <v>0</v>
      </c>
    </row>
    <row r="76" spans="1:6" x14ac:dyDescent="0.2">
      <c r="A76" s="10"/>
      <c r="B76" s="6" t="s">
        <v>88</v>
      </c>
      <c r="C76" s="6" t="s">
        <v>0</v>
      </c>
      <c r="D76" s="6"/>
      <c r="E76" s="8">
        <v>114.8</v>
      </c>
      <c r="F76" s="8" t="s">
        <v>0</v>
      </c>
    </row>
    <row r="77" spans="1:6" x14ac:dyDescent="0.2">
      <c r="A77" s="10">
        <v>4</v>
      </c>
      <c r="B77" s="6" t="s">
        <v>90</v>
      </c>
      <c r="C77" s="6" t="s">
        <v>0</v>
      </c>
      <c r="D77" s="6" t="s">
        <v>143</v>
      </c>
      <c r="E77" s="8">
        <f>10000*1.04</f>
        <v>10400</v>
      </c>
      <c r="F77" s="8" t="s">
        <v>0</v>
      </c>
    </row>
    <row r="78" spans="1:6" x14ac:dyDescent="0.2">
      <c r="A78" s="10"/>
      <c r="B78" s="6" t="s">
        <v>91</v>
      </c>
      <c r="C78" s="6" t="s">
        <v>0</v>
      </c>
      <c r="D78" s="6" t="s">
        <v>160</v>
      </c>
      <c r="E78" s="8">
        <v>95.85</v>
      </c>
      <c r="F78" s="8" t="s">
        <v>0</v>
      </c>
    </row>
    <row r="79" spans="1:6" x14ac:dyDescent="0.2">
      <c r="A79" s="10"/>
      <c r="B79" s="6" t="s">
        <v>92</v>
      </c>
      <c r="C79" s="6" t="s">
        <v>0</v>
      </c>
      <c r="D79" s="6"/>
      <c r="E79" s="8">
        <f>MROUND((E77+E78)*0.85/100,0.05)</f>
        <v>89.2</v>
      </c>
      <c r="F79" s="8" t="s">
        <v>0</v>
      </c>
    </row>
    <row r="80" spans="1:6" x14ac:dyDescent="0.2">
      <c r="A80" s="10"/>
      <c r="B80" s="6" t="s">
        <v>0</v>
      </c>
      <c r="C80" s="6" t="s">
        <v>13</v>
      </c>
      <c r="D80" s="6"/>
      <c r="E80" s="8" t="s">
        <v>0</v>
      </c>
      <c r="F80" s="8">
        <f>E77+E78+E79</f>
        <v>10585.050000000001</v>
      </c>
    </row>
    <row r="81" spans="1:6" x14ac:dyDescent="0.2">
      <c r="A81" s="10">
        <v>5</v>
      </c>
      <c r="B81" s="6" t="s">
        <v>0</v>
      </c>
      <c r="C81" s="6" t="s">
        <v>93</v>
      </c>
      <c r="D81" s="6" t="s">
        <v>94</v>
      </c>
      <c r="E81" s="8"/>
      <c r="F81" s="8">
        <f>10*20*0.14</f>
        <v>28.000000000000004</v>
      </c>
    </row>
    <row r="82" spans="1:6" x14ac:dyDescent="0.2">
      <c r="A82" s="10"/>
      <c r="B82" s="6" t="s">
        <v>95</v>
      </c>
      <c r="C82" s="6" t="s">
        <v>0</v>
      </c>
      <c r="D82" s="6" t="s">
        <v>96</v>
      </c>
      <c r="E82" s="8">
        <f>F81*0.35</f>
        <v>9.8000000000000007</v>
      </c>
      <c r="F82" s="8"/>
    </row>
    <row r="83" spans="1:6" x14ac:dyDescent="0.2">
      <c r="A83" s="10"/>
      <c r="B83" s="6" t="s">
        <v>13</v>
      </c>
      <c r="C83" s="6" t="s">
        <v>0</v>
      </c>
      <c r="D83" s="6"/>
      <c r="E83" s="8">
        <f>F81-E82</f>
        <v>18.200000000000003</v>
      </c>
      <c r="F83" s="8"/>
    </row>
    <row r="84" spans="1:6" x14ac:dyDescent="0.2">
      <c r="A84" s="7">
        <v>6</v>
      </c>
      <c r="B84" s="6" t="s">
        <v>97</v>
      </c>
      <c r="C84" s="6" t="s">
        <v>116</v>
      </c>
      <c r="D84" s="6"/>
      <c r="E84" s="8">
        <v>34000</v>
      </c>
      <c r="F84" s="8">
        <v>34000</v>
      </c>
    </row>
    <row r="85" spans="1:6" x14ac:dyDescent="0.2">
      <c r="A85" s="7">
        <v>7</v>
      </c>
      <c r="B85" s="6" t="s">
        <v>158</v>
      </c>
      <c r="C85" s="6" t="s">
        <v>13</v>
      </c>
      <c r="D85" s="6" t="s">
        <v>159</v>
      </c>
      <c r="E85" s="8">
        <v>2120</v>
      </c>
      <c r="F85" s="8">
        <v>2120</v>
      </c>
    </row>
    <row r="86" spans="1:6" x14ac:dyDescent="0.2">
      <c r="A86" s="10">
        <v>8</v>
      </c>
      <c r="B86" s="6" t="s">
        <v>98</v>
      </c>
      <c r="C86" s="6" t="s">
        <v>99</v>
      </c>
      <c r="D86" s="6" t="s">
        <v>100</v>
      </c>
      <c r="E86" s="8">
        <v>3333.35</v>
      </c>
      <c r="F86" s="8">
        <v>3333.35</v>
      </c>
    </row>
    <row r="87" spans="1:6" x14ac:dyDescent="0.2">
      <c r="A87" s="10"/>
      <c r="B87" s="6" t="s">
        <v>101</v>
      </c>
      <c r="C87" s="6" t="s">
        <v>99</v>
      </c>
      <c r="D87" s="6" t="s">
        <v>102</v>
      </c>
      <c r="E87" s="8">
        <v>2100000</v>
      </c>
      <c r="F87" s="8">
        <v>2100000</v>
      </c>
    </row>
    <row r="88" spans="1:6" ht="46" x14ac:dyDescent="0.2">
      <c r="A88" s="10"/>
      <c r="B88" s="6" t="s">
        <v>99</v>
      </c>
      <c r="C88" s="6" t="s">
        <v>103</v>
      </c>
      <c r="D88" s="5" t="s">
        <v>104</v>
      </c>
      <c r="E88" s="8">
        <f>2100000-1783333.35</f>
        <v>316666.64999999991</v>
      </c>
      <c r="F88" s="8">
        <f>2100000-1783333.35</f>
        <v>316666.64999999991</v>
      </c>
    </row>
    <row r="89" spans="1:6" x14ac:dyDescent="0.2">
      <c r="A89" s="10"/>
      <c r="B89" s="6" t="s">
        <v>105</v>
      </c>
      <c r="C89" s="6" t="s">
        <v>106</v>
      </c>
      <c r="D89" s="6" t="s">
        <v>108</v>
      </c>
      <c r="E89" s="8">
        <v>1750000</v>
      </c>
      <c r="F89" s="8">
        <f>E89</f>
        <v>1750000</v>
      </c>
    </row>
    <row r="90" spans="1:6" x14ac:dyDescent="0.2">
      <c r="A90" s="10"/>
      <c r="B90" s="6" t="s">
        <v>107</v>
      </c>
      <c r="C90" s="6" t="s">
        <v>106</v>
      </c>
      <c r="D90" s="6" t="s">
        <v>109</v>
      </c>
      <c r="E90" s="8">
        <f>1750000*0.03*8.5/12</f>
        <v>37187.5</v>
      </c>
      <c r="F90" s="8">
        <f>1750000*0.03*8.5/12</f>
        <v>37187.5</v>
      </c>
    </row>
    <row r="91" spans="1:6" x14ac:dyDescent="0.2">
      <c r="A91" s="10"/>
      <c r="B91" s="6" t="s">
        <v>110</v>
      </c>
      <c r="C91" s="6" t="s">
        <v>106</v>
      </c>
      <c r="D91" s="6" t="s">
        <v>111</v>
      </c>
      <c r="E91" s="8">
        <v>13000</v>
      </c>
      <c r="F91" s="8">
        <v>13000</v>
      </c>
    </row>
    <row r="92" spans="1:6" x14ac:dyDescent="0.2">
      <c r="A92" s="10"/>
      <c r="B92" s="6" t="s">
        <v>101</v>
      </c>
      <c r="C92" s="6" t="s">
        <v>112</v>
      </c>
      <c r="D92" s="6" t="s">
        <v>113</v>
      </c>
      <c r="E92" s="8">
        <f>300*1.1</f>
        <v>330</v>
      </c>
      <c r="F92" s="8">
        <f>300*1.1</f>
        <v>330</v>
      </c>
    </row>
    <row r="93" spans="1:6" x14ac:dyDescent="0.2">
      <c r="A93" s="10"/>
      <c r="B93" s="6" t="s">
        <v>101</v>
      </c>
      <c r="C93" s="6" t="s">
        <v>112</v>
      </c>
      <c r="D93" s="6" t="s">
        <v>114</v>
      </c>
      <c r="E93" s="8">
        <f>3600*11.5/12</f>
        <v>3450</v>
      </c>
      <c r="F93" s="8">
        <f>3600*11.5/12</f>
        <v>3450</v>
      </c>
    </row>
    <row r="94" spans="1:6" x14ac:dyDescent="0.2">
      <c r="A94" s="10"/>
      <c r="B94" s="6" t="s">
        <v>13</v>
      </c>
      <c r="C94" s="6" t="s">
        <v>106</v>
      </c>
      <c r="D94" s="6" t="s">
        <v>115</v>
      </c>
      <c r="E94" s="8">
        <f>E87-F89-F90-F91+E92+E93</f>
        <v>303592.5</v>
      </c>
      <c r="F94" s="8">
        <f>E94</f>
        <v>303592.5</v>
      </c>
    </row>
    <row r="95" spans="1:6" x14ac:dyDescent="0.2">
      <c r="A95" s="10">
        <v>9</v>
      </c>
      <c r="B95" s="6" t="s">
        <v>0</v>
      </c>
      <c r="C95" s="6" t="s">
        <v>15</v>
      </c>
      <c r="D95" s="6"/>
      <c r="E95" s="8" t="s">
        <v>0</v>
      </c>
      <c r="F95" s="8">
        <f>1.08*5200</f>
        <v>5616</v>
      </c>
    </row>
    <row r="96" spans="1:6" x14ac:dyDescent="0.2">
      <c r="A96" s="10"/>
      <c r="B96" s="6" t="s">
        <v>0</v>
      </c>
      <c r="C96" s="6" t="s">
        <v>116</v>
      </c>
      <c r="D96" s="6"/>
      <c r="E96" s="8" t="s">
        <v>0</v>
      </c>
      <c r="F96" s="8">
        <v>150</v>
      </c>
    </row>
    <row r="97" spans="1:6" x14ac:dyDescent="0.2">
      <c r="A97" s="10"/>
      <c r="B97" s="6" t="s">
        <v>117</v>
      </c>
      <c r="C97" s="6" t="s">
        <v>0</v>
      </c>
      <c r="D97" s="6"/>
      <c r="E97" s="8">
        <f>F95+F96</f>
        <v>5766</v>
      </c>
      <c r="F97" s="8" t="s">
        <v>0</v>
      </c>
    </row>
    <row r="98" spans="1:6" x14ac:dyDescent="0.2">
      <c r="A98" s="10">
        <v>10</v>
      </c>
      <c r="B98" s="6" t="s">
        <v>22</v>
      </c>
      <c r="C98" s="6" t="s">
        <v>0</v>
      </c>
      <c r="D98" s="6"/>
      <c r="E98" s="8">
        <v>6120</v>
      </c>
      <c r="F98" s="8" t="s">
        <v>0</v>
      </c>
    </row>
    <row r="99" spans="1:6" x14ac:dyDescent="0.2">
      <c r="A99" s="10"/>
      <c r="B99" s="6" t="s">
        <v>0</v>
      </c>
      <c r="C99" s="6" t="s">
        <v>118</v>
      </c>
      <c r="D99" s="6" t="s">
        <v>120</v>
      </c>
      <c r="E99" s="8" t="s">
        <v>0</v>
      </c>
      <c r="F99" s="8">
        <f>6000*1.05*0.1</f>
        <v>630</v>
      </c>
    </row>
    <row r="100" spans="1:6" x14ac:dyDescent="0.2">
      <c r="A100" s="10"/>
      <c r="B100" s="6" t="s">
        <v>0</v>
      </c>
      <c r="C100" s="6" t="s">
        <v>119</v>
      </c>
      <c r="D100" s="6" t="s">
        <v>121</v>
      </c>
      <c r="E100" s="8" t="s">
        <v>0</v>
      </c>
      <c r="F100" s="8">
        <f>6000*1.05*0.9</f>
        <v>5670</v>
      </c>
    </row>
    <row r="101" spans="1:6" x14ac:dyDescent="0.2">
      <c r="A101" s="10"/>
      <c r="B101" s="6" t="s">
        <v>122</v>
      </c>
      <c r="C101" s="6" t="s">
        <v>0</v>
      </c>
      <c r="D101" s="6"/>
      <c r="E101" s="8">
        <v>180</v>
      </c>
      <c r="F101" s="8" t="s">
        <v>0</v>
      </c>
    </row>
    <row r="102" spans="1:6" x14ac:dyDescent="0.2">
      <c r="A102" s="7">
        <v>11</v>
      </c>
      <c r="B102" s="6" t="s">
        <v>123</v>
      </c>
      <c r="C102" s="6" t="s">
        <v>124</v>
      </c>
      <c r="D102" s="6"/>
      <c r="E102" s="8">
        <v>3000</v>
      </c>
      <c r="F102" s="8">
        <v>3000</v>
      </c>
    </row>
    <row r="103" spans="1:6" x14ac:dyDescent="0.2">
      <c r="A103" s="10">
        <v>12</v>
      </c>
      <c r="B103" s="6" t="s">
        <v>13</v>
      </c>
      <c r="C103" s="6"/>
      <c r="D103" s="6"/>
      <c r="E103" s="8">
        <v>1025</v>
      </c>
      <c r="F103" s="8" t="s">
        <v>0</v>
      </c>
    </row>
    <row r="104" spans="1:6" x14ac:dyDescent="0.2">
      <c r="A104" s="10"/>
      <c r="B104" s="6" t="s">
        <v>0</v>
      </c>
      <c r="C104" s="6" t="s">
        <v>85</v>
      </c>
      <c r="D104" s="6" t="s">
        <v>125</v>
      </c>
      <c r="E104" s="8" t="s">
        <v>0</v>
      </c>
      <c r="F104" s="8">
        <v>25</v>
      </c>
    </row>
    <row r="105" spans="1:6" x14ac:dyDescent="0.2">
      <c r="A105" s="10"/>
      <c r="B105" s="6" t="s">
        <v>0</v>
      </c>
      <c r="C105" s="6" t="s">
        <v>103</v>
      </c>
      <c r="D105" s="6"/>
      <c r="E105" s="8" t="s">
        <v>0</v>
      </c>
      <c r="F105" s="8">
        <v>1000</v>
      </c>
    </row>
    <row r="106" spans="1:6" x14ac:dyDescent="0.2">
      <c r="A106" s="10">
        <v>13</v>
      </c>
      <c r="B106" s="6" t="s">
        <v>0</v>
      </c>
      <c r="C106" s="6" t="s">
        <v>13</v>
      </c>
      <c r="D106" s="6"/>
      <c r="E106" s="8"/>
      <c r="F106" s="8">
        <v>108000</v>
      </c>
    </row>
    <row r="107" spans="1:6" x14ac:dyDescent="0.2">
      <c r="A107" s="10"/>
      <c r="B107" s="6" t="s">
        <v>107</v>
      </c>
      <c r="C107" s="6"/>
      <c r="D107" s="6" t="s">
        <v>126</v>
      </c>
      <c r="E107" s="8">
        <f>27000*3</f>
        <v>81000</v>
      </c>
      <c r="F107" s="8" t="s">
        <v>0</v>
      </c>
    </row>
    <row r="108" spans="1:6" x14ac:dyDescent="0.2">
      <c r="A108" s="10"/>
      <c r="B108" s="6" t="s">
        <v>129</v>
      </c>
      <c r="C108" s="6"/>
      <c r="D108" s="6" t="s">
        <v>127</v>
      </c>
      <c r="E108" s="8">
        <v>25000</v>
      </c>
      <c r="F108" s="8" t="s">
        <v>0</v>
      </c>
    </row>
    <row r="109" spans="1:6" x14ac:dyDescent="0.2">
      <c r="A109" s="10"/>
      <c r="B109" s="6" t="s">
        <v>86</v>
      </c>
      <c r="C109" s="6"/>
      <c r="D109" s="6" t="s">
        <v>128</v>
      </c>
      <c r="E109" s="8">
        <f>E108*0.08</f>
        <v>2000</v>
      </c>
      <c r="F109" s="8" t="s">
        <v>0</v>
      </c>
    </row>
    <row r="110" spans="1:6" x14ac:dyDescent="0.2">
      <c r="A110" s="10">
        <v>14</v>
      </c>
      <c r="B110" s="6" t="s">
        <v>0</v>
      </c>
      <c r="C110" s="6" t="s">
        <v>117</v>
      </c>
      <c r="D110" s="6"/>
      <c r="E110" s="8"/>
      <c r="F110" s="8">
        <f>E97</f>
        <v>5766</v>
      </c>
    </row>
    <row r="111" spans="1:6" x14ac:dyDescent="0.2">
      <c r="A111" s="10"/>
      <c r="B111" s="6" t="s">
        <v>85</v>
      </c>
      <c r="C111" s="6" t="s">
        <v>0</v>
      </c>
      <c r="D111" s="6"/>
      <c r="E111" s="8">
        <f>5200*0.08</f>
        <v>416</v>
      </c>
      <c r="F111" s="8" t="s">
        <v>0</v>
      </c>
    </row>
    <row r="112" spans="1:6" x14ac:dyDescent="0.2">
      <c r="A112" s="10"/>
      <c r="B112" s="6" t="s">
        <v>130</v>
      </c>
      <c r="C112" s="6" t="s">
        <v>0</v>
      </c>
      <c r="D112" s="5"/>
      <c r="E112" s="8">
        <f>F110-E111</f>
        <v>5350</v>
      </c>
      <c r="F112" s="8" t="s">
        <v>0</v>
      </c>
    </row>
    <row r="113" spans="1:6" x14ac:dyDescent="0.2">
      <c r="A113" s="10">
        <v>15</v>
      </c>
      <c r="B113" s="6" t="s">
        <v>0</v>
      </c>
      <c r="C113" s="6" t="s">
        <v>131</v>
      </c>
      <c r="D113" s="6" t="s">
        <v>132</v>
      </c>
      <c r="E113" s="8" t="s">
        <v>0</v>
      </c>
      <c r="F113" s="8">
        <v>5000</v>
      </c>
    </row>
    <row r="114" spans="1:6" x14ac:dyDescent="0.2">
      <c r="A114" s="10"/>
      <c r="B114" s="6" t="s">
        <v>0</v>
      </c>
      <c r="C114" s="6" t="s">
        <v>85</v>
      </c>
      <c r="D114" s="6" t="s">
        <v>133</v>
      </c>
      <c r="E114" s="8" t="s">
        <v>0</v>
      </c>
      <c r="F114" s="8">
        <f>5000*0.08</f>
        <v>400</v>
      </c>
    </row>
    <row r="115" spans="1:6" x14ac:dyDescent="0.2">
      <c r="A115" s="10"/>
      <c r="B115" s="6" t="s">
        <v>14</v>
      </c>
      <c r="C115" s="6" t="s">
        <v>0</v>
      </c>
      <c r="D115" s="6"/>
      <c r="E115" s="8">
        <v>5400</v>
      </c>
      <c r="F115" s="8" t="s">
        <v>0</v>
      </c>
    </row>
    <row r="116" spans="1:6" x14ac:dyDescent="0.2">
      <c r="A116" s="7">
        <v>16</v>
      </c>
      <c r="B116" s="6" t="s">
        <v>116</v>
      </c>
      <c r="C116" s="6" t="s">
        <v>124</v>
      </c>
      <c r="D116" s="6"/>
      <c r="E116" s="8">
        <v>1340</v>
      </c>
      <c r="F116" s="8">
        <v>1340</v>
      </c>
    </row>
    <row r="117" spans="1:6" x14ac:dyDescent="0.2">
      <c r="A117" s="7">
        <v>17</v>
      </c>
      <c r="B117" s="6" t="s">
        <v>37</v>
      </c>
      <c r="C117" s="6" t="s">
        <v>13</v>
      </c>
      <c r="D117" s="6" t="s">
        <v>134</v>
      </c>
      <c r="E117" s="8">
        <v>162</v>
      </c>
      <c r="F117" s="8">
        <v>162</v>
      </c>
    </row>
    <row r="118" spans="1:6" x14ac:dyDescent="0.2">
      <c r="E118" s="9"/>
      <c r="F118" s="9"/>
    </row>
  </sheetData>
  <mergeCells count="36">
    <mergeCell ref="A47:B47"/>
    <mergeCell ref="A46:B46"/>
    <mergeCell ref="A45:B45"/>
    <mergeCell ref="A16:A18"/>
    <mergeCell ref="A25:A29"/>
    <mergeCell ref="A3:A6"/>
    <mergeCell ref="A7:A12"/>
    <mergeCell ref="A13:A15"/>
    <mergeCell ref="A30:A39"/>
    <mergeCell ref="A77:A80"/>
    <mergeCell ref="A55:B55"/>
    <mergeCell ref="A56:B56"/>
    <mergeCell ref="A48:B48"/>
    <mergeCell ref="A57:B57"/>
    <mergeCell ref="A58:B58"/>
    <mergeCell ref="A59:B59"/>
    <mergeCell ref="A50:B50"/>
    <mergeCell ref="A51:B51"/>
    <mergeCell ref="A52:B52"/>
    <mergeCell ref="A53:B53"/>
    <mergeCell ref="A54:B54"/>
    <mergeCell ref="A60:B60"/>
    <mergeCell ref="A49:B49"/>
    <mergeCell ref="A61:C61"/>
    <mergeCell ref="A64:C64"/>
    <mergeCell ref="A67:A70"/>
    <mergeCell ref="A71:A73"/>
    <mergeCell ref="A74:A76"/>
    <mergeCell ref="A110:A112"/>
    <mergeCell ref="A113:A115"/>
    <mergeCell ref="A81:A83"/>
    <mergeCell ref="A86:A94"/>
    <mergeCell ref="A95:A97"/>
    <mergeCell ref="A98:A101"/>
    <mergeCell ref="A103:A105"/>
    <mergeCell ref="A106:A109"/>
  </mergeCells>
  <phoneticPr fontId="4" type="noConversion"/>
  <pageMargins left="0.25" right="0.25" top="0.75" bottom="0.75" header="0.3" footer="0.3"/>
  <pageSetup paperSize="9" scale="95" orientation="portrait" horizontalDpi="4294967292" verticalDpi="4294967292" copies="20"/>
  <rowBreaks count="2" manualBreakCount="2">
    <brk id="64" max="16383" man="1"/>
    <brk id="117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Haute École spécialisée de Suisse occidentale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Yannick Bravo</cp:lastModifiedBy>
  <cp:lastPrinted>2019-06-12T15:49:34Z</cp:lastPrinted>
  <dcterms:created xsi:type="dcterms:W3CDTF">2015-01-22T14:29:11Z</dcterms:created>
  <dcterms:modified xsi:type="dcterms:W3CDTF">2019-06-12T15:49:35Z</dcterms:modified>
</cp:coreProperties>
</file>