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ropbox\_compta\exercices\"/>
    </mc:Choice>
  </mc:AlternateContent>
  <xr:revisionPtr revIDLastSave="0" documentId="13_ncr:1_{8E257478-C379-42EA-8942-FC4E81E1B99E}" xr6:coauthVersionLast="40" xr6:coauthVersionMax="40" xr10:uidLastSave="{00000000-0000-0000-0000-000000000000}"/>
  <bookViews>
    <workbookView xWindow="375" yWindow="465" windowWidth="25455" windowHeight="17535" xr2:uid="{00000000-000D-0000-FFFF-FFFF00000000}"/>
  </bookViews>
  <sheets>
    <sheet name="Feuil1" sheetId="1" r:id="rId1"/>
  </sheets>
  <definedNames>
    <definedName name="_xlnm.Print_Area" localSheetId="0">Feuil1!$A$1:$I$121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1" l="1"/>
  <c r="E98" i="1" s="1"/>
  <c r="F120" i="1" l="1"/>
  <c r="E120" i="1"/>
  <c r="E117" i="1"/>
  <c r="F115" i="1"/>
  <c r="F113" i="1"/>
  <c r="E112" i="1"/>
  <c r="E109" i="1"/>
  <c r="E106" i="1"/>
  <c r="F105" i="1"/>
  <c r="E104" i="1"/>
  <c r="F94" i="1"/>
  <c r="E93" i="1"/>
  <c r="E92" i="1"/>
  <c r="E88" i="1"/>
  <c r="F84" i="1"/>
  <c r="F104" i="1" s="1"/>
  <c r="E84" i="1"/>
  <c r="E86" i="1"/>
  <c r="E81" i="1"/>
  <c r="E82" i="1" s="1"/>
  <c r="H81" i="1" l="1"/>
  <c r="I81" i="1"/>
  <c r="I82" i="1"/>
  <c r="H83" i="1"/>
  <c r="H85" i="1"/>
  <c r="I85" i="1"/>
  <c r="H86" i="1"/>
  <c r="I86" i="1"/>
  <c r="H87" i="1"/>
  <c r="H88" i="1"/>
  <c r="I88" i="1"/>
  <c r="I89" i="1"/>
  <c r="H90" i="1"/>
  <c r="H91" i="1"/>
  <c r="I91" i="1"/>
  <c r="H92" i="1"/>
  <c r="I93" i="1"/>
  <c r="I95" i="1"/>
  <c r="H96" i="1"/>
  <c r="I96" i="1"/>
  <c r="H97" i="1"/>
  <c r="I97" i="1"/>
  <c r="I98" i="1"/>
  <c r="H99" i="1"/>
  <c r="I100" i="1"/>
  <c r="H101" i="1"/>
  <c r="H102" i="1"/>
  <c r="H103" i="1"/>
  <c r="H104" i="1"/>
  <c r="I104" i="1"/>
  <c r="H105" i="1"/>
  <c r="I105" i="1"/>
  <c r="H106" i="1"/>
  <c r="I106" i="1"/>
  <c r="I107" i="1"/>
  <c r="H108" i="1"/>
  <c r="I108" i="1"/>
  <c r="I109" i="1"/>
  <c r="H110" i="1"/>
  <c r="H111" i="1"/>
  <c r="I111" i="1"/>
  <c r="H112" i="1"/>
  <c r="I112" i="1"/>
  <c r="H113" i="1"/>
  <c r="H114" i="1"/>
  <c r="H115" i="1"/>
  <c r="I115" i="1"/>
  <c r="I116" i="1"/>
  <c r="I117" i="1"/>
  <c r="H119" i="1"/>
  <c r="I119" i="1"/>
  <c r="H120" i="1"/>
  <c r="I120" i="1"/>
  <c r="H121" i="1"/>
  <c r="I121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I80" i="1"/>
  <c r="H80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F131" i="1" s="1"/>
  <c r="G108" i="1"/>
  <c r="G109" i="1"/>
  <c r="G110" i="1"/>
  <c r="G111" i="1"/>
  <c r="G112" i="1"/>
  <c r="G113" i="1"/>
  <c r="G114" i="1"/>
  <c r="G115" i="1"/>
  <c r="E115" i="1" s="1"/>
  <c r="G116" i="1"/>
  <c r="G117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E105" i="1" s="1"/>
  <c r="G106" i="1"/>
  <c r="G107" i="1"/>
  <c r="G80" i="1"/>
  <c r="G81" i="1"/>
  <c r="G82" i="1"/>
  <c r="G83" i="1"/>
  <c r="G84" i="1"/>
  <c r="G85" i="1"/>
  <c r="G86" i="1"/>
  <c r="G87" i="1"/>
  <c r="G88" i="1"/>
  <c r="G89" i="1"/>
  <c r="G90" i="1"/>
  <c r="G91" i="1"/>
  <c r="G79" i="1"/>
  <c r="E130" i="1" l="1"/>
  <c r="F130" i="1"/>
  <c r="E131" i="1"/>
  <c r="E129" i="1"/>
  <c r="F129" i="1"/>
  <c r="E128" i="1"/>
  <c r="F128" i="1"/>
  <c r="E127" i="1"/>
  <c r="F127" i="1"/>
  <c r="E126" i="1"/>
  <c r="F126" i="1"/>
  <c r="E123" i="1"/>
  <c r="F123" i="1"/>
  <c r="F125" i="1"/>
  <c r="E125" i="1"/>
  <c r="E124" i="1"/>
  <c r="F124" i="1"/>
  <c r="F117" i="1"/>
  <c r="H117" i="1"/>
  <c r="H116" i="1"/>
  <c r="F116" i="1"/>
  <c r="F112" i="1"/>
  <c r="E113" i="1"/>
  <c r="E114" i="1" s="1"/>
  <c r="I113" i="1"/>
  <c r="H109" i="1"/>
  <c r="F109" i="1"/>
  <c r="F108" i="1"/>
  <c r="F110" i="1" s="1"/>
  <c r="I110" i="1" s="1"/>
  <c r="E102" i="1"/>
  <c r="F106" i="1"/>
  <c r="E107" i="1" s="1"/>
  <c r="H107" i="1" s="1"/>
  <c r="E101" i="1"/>
  <c r="F100" i="1"/>
  <c r="F97" i="1"/>
  <c r="F98" i="1"/>
  <c r="H98" i="1"/>
  <c r="F96" i="1"/>
  <c r="F92" i="1"/>
  <c r="I92" i="1" s="1"/>
  <c r="F88" i="1"/>
  <c r="E91" i="1"/>
  <c r="F86" i="1"/>
  <c r="H84" i="1"/>
  <c r="I84" i="1"/>
  <c r="F85" i="1"/>
  <c r="E94" i="1"/>
  <c r="H94" i="1" s="1"/>
  <c r="I94" i="1"/>
  <c r="F89" i="1"/>
  <c r="H89" i="1"/>
  <c r="H93" i="1"/>
  <c r="F93" i="1"/>
  <c r="F81" i="1"/>
  <c r="H82" i="1"/>
  <c r="F77" i="1"/>
  <c r="I77" i="1" s="1"/>
  <c r="I68" i="1"/>
  <c r="H69" i="1"/>
  <c r="H70" i="1"/>
  <c r="I71" i="1"/>
  <c r="I72" i="1"/>
  <c r="I73" i="1"/>
  <c r="I74" i="1"/>
  <c r="H75" i="1"/>
  <c r="H76" i="1"/>
  <c r="E68" i="1"/>
  <c r="H68" i="1" s="1"/>
  <c r="E65" i="1"/>
  <c r="F66" i="1" s="1"/>
  <c r="I66" i="1" s="1"/>
  <c r="F60" i="1"/>
  <c r="I60" i="1" s="1"/>
  <c r="E77" i="1"/>
  <c r="H77" i="1" s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E79" i="1" s="1"/>
  <c r="G46" i="1"/>
  <c r="F58" i="1"/>
  <c r="E59" i="1" s="1"/>
  <c r="E55" i="1"/>
  <c r="F56" i="1" s="1"/>
  <c r="I56" i="1" s="1"/>
  <c r="F53" i="1"/>
  <c r="E74" i="1" s="1"/>
  <c r="E53" i="1"/>
  <c r="E51" i="1"/>
  <c r="H51" i="1" s="1"/>
  <c r="F50" i="1"/>
  <c r="I50" i="1" s="1"/>
  <c r="H47" i="1"/>
  <c r="I48" i="1"/>
  <c r="H49" i="1"/>
  <c r="I49" i="1"/>
  <c r="H50" i="1"/>
  <c r="I51" i="1"/>
  <c r="I52" i="1"/>
  <c r="H53" i="1"/>
  <c r="H54" i="1"/>
  <c r="I54" i="1"/>
  <c r="I55" i="1"/>
  <c r="H56" i="1"/>
  <c r="H57" i="1"/>
  <c r="I57" i="1"/>
  <c r="H58" i="1"/>
  <c r="I58" i="1"/>
  <c r="I59" i="1"/>
  <c r="H60" i="1"/>
  <c r="I61" i="1"/>
  <c r="H62" i="1"/>
  <c r="I63" i="1"/>
  <c r="H64" i="1"/>
  <c r="I64" i="1"/>
  <c r="H65" i="1"/>
  <c r="I65" i="1"/>
  <c r="H66" i="1"/>
  <c r="H67" i="1"/>
  <c r="I67" i="1"/>
  <c r="F46" i="1"/>
  <c r="H46" i="1"/>
  <c r="H59" i="1" l="1"/>
  <c r="F70" i="1"/>
  <c r="E73" i="1" s="1"/>
  <c r="H73" i="1" s="1"/>
  <c r="E90" i="1"/>
  <c r="E95" i="1"/>
  <c r="H95" i="1" s="1"/>
  <c r="I53" i="1"/>
  <c r="E52" i="1"/>
  <c r="H52" i="1" s="1"/>
  <c r="F90" i="1"/>
  <c r="I90" i="1" s="1"/>
  <c r="F118" i="1"/>
  <c r="I118" i="1" s="1"/>
  <c r="E99" i="1"/>
  <c r="F99" i="1"/>
  <c r="I99" i="1" s="1"/>
  <c r="E118" i="1"/>
  <c r="H118" i="1" s="1"/>
  <c r="F95" i="1"/>
  <c r="F114" i="1"/>
  <c r="I114" i="1" s="1"/>
  <c r="E110" i="1"/>
  <c r="F107" i="1"/>
  <c r="E87" i="1"/>
  <c r="F87" i="1"/>
  <c r="I87" i="1" s="1"/>
  <c r="H74" i="1"/>
  <c r="F75" i="1"/>
  <c r="I75" i="1" s="1"/>
  <c r="F76" i="1"/>
  <c r="I76" i="1" s="1"/>
  <c r="F47" i="1"/>
  <c r="I47" i="1" s="1"/>
  <c r="F79" i="1"/>
  <c r="E61" i="1"/>
  <c r="H61" i="1" s="1"/>
  <c r="H55" i="1"/>
  <c r="E72" i="1"/>
  <c r="H72" i="1" s="1"/>
  <c r="I70" i="1"/>
  <c r="E71" i="1"/>
  <c r="H71" i="1" s="1"/>
  <c r="F69" i="1"/>
  <c r="I69" i="1" s="1"/>
  <c r="F82" i="1"/>
  <c r="F83" i="1" s="1"/>
  <c r="F36" i="1"/>
  <c r="E36" i="1"/>
  <c r="E83" i="1" l="1"/>
  <c r="E100" i="1"/>
  <c r="I83" i="1"/>
  <c r="E48" i="1"/>
  <c r="H48" i="1" s="1"/>
  <c r="F62" i="1"/>
  <c r="I46" i="1"/>
  <c r="H36" i="1"/>
  <c r="I36" i="1"/>
  <c r="E35" i="1"/>
  <c r="H35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E32" i="1"/>
  <c r="H32" i="1" s="1"/>
  <c r="E33" i="1"/>
  <c r="H33" i="1" s="1"/>
  <c r="E31" i="1"/>
  <c r="H31" i="1" s="1"/>
  <c r="E21" i="1"/>
  <c r="H21" i="1" s="1"/>
  <c r="E16" i="1"/>
  <c r="F17" i="1" s="1"/>
  <c r="I17" i="1" s="1"/>
  <c r="I37" i="1"/>
  <c r="H38" i="1"/>
  <c r="H39" i="1"/>
  <c r="H40" i="1"/>
  <c r="H19" i="1"/>
  <c r="H20" i="1"/>
  <c r="I20" i="1"/>
  <c r="I21" i="1"/>
  <c r="H22" i="1"/>
  <c r="I23" i="1"/>
  <c r="H24" i="1"/>
  <c r="I25" i="1"/>
  <c r="I26" i="1"/>
  <c r="I27" i="1"/>
  <c r="I28" i="1"/>
  <c r="H29" i="1"/>
  <c r="H30" i="1"/>
  <c r="I32" i="1"/>
  <c r="I33" i="1"/>
  <c r="H34" i="1"/>
  <c r="E14" i="1"/>
  <c r="E12" i="1"/>
  <c r="E6" i="1"/>
  <c r="H6" i="1" s="1"/>
  <c r="F3" i="1"/>
  <c r="I3" i="1" s="1"/>
  <c r="H4" i="1"/>
  <c r="H5" i="1"/>
  <c r="I5" i="1"/>
  <c r="I6" i="1"/>
  <c r="I7" i="1"/>
  <c r="H8" i="1"/>
  <c r="I8" i="1"/>
  <c r="H9" i="1"/>
  <c r="I9" i="1"/>
  <c r="H10" i="1"/>
  <c r="I10" i="1"/>
  <c r="H11" i="1"/>
  <c r="I11" i="1"/>
  <c r="H12" i="1"/>
  <c r="H13" i="1"/>
  <c r="I13" i="1"/>
  <c r="H14" i="1"/>
  <c r="I14" i="1"/>
  <c r="H15" i="1"/>
  <c r="I16" i="1"/>
  <c r="H17" i="1"/>
  <c r="I18" i="1"/>
  <c r="H3" i="1"/>
  <c r="F101" i="1" l="1"/>
  <c r="H100" i="1"/>
  <c r="I62" i="1"/>
  <c r="E63" i="1"/>
  <c r="H63" i="1" s="1"/>
  <c r="F13" i="1"/>
  <c r="F32" i="1"/>
  <c r="F28" i="1"/>
  <c r="E24" i="1"/>
  <c r="F16" i="1"/>
  <c r="E29" i="1"/>
  <c r="E30" i="1"/>
  <c r="F12" i="1"/>
  <c r="I12" i="1" s="1"/>
  <c r="E39" i="1"/>
  <c r="F27" i="1"/>
  <c r="H16" i="1"/>
  <c r="E7" i="1"/>
  <c r="H7" i="1" s="1"/>
  <c r="F23" i="1"/>
  <c r="E18" i="1"/>
  <c r="H18" i="1" s="1"/>
  <c r="F14" i="1"/>
  <c r="F4" i="1"/>
  <c r="I4" i="1" s="1"/>
  <c r="F18" i="1"/>
  <c r="E22" i="1"/>
  <c r="F22" i="1"/>
  <c r="I22" i="1" s="1"/>
  <c r="F25" i="1"/>
  <c r="I42" i="1"/>
  <c r="H42" i="1"/>
  <c r="E38" i="1"/>
  <c r="F37" i="1"/>
  <c r="E40" i="1"/>
  <c r="F33" i="1"/>
  <c r="F26" i="1"/>
  <c r="F21" i="1"/>
  <c r="I35" i="1"/>
  <c r="I31" i="1"/>
  <c r="F34" i="1" l="1"/>
  <c r="F102" i="1"/>
  <c r="I101" i="1"/>
  <c r="F15" i="1"/>
  <c r="E37" i="1" s="1"/>
  <c r="E23" i="1"/>
  <c r="F19" i="1"/>
  <c r="I19" i="1"/>
  <c r="E28" i="1"/>
  <c r="H28" i="1" s="1"/>
  <c r="I15" i="1"/>
  <c r="E41" i="1" l="1"/>
  <c r="F41" i="1" s="1"/>
  <c r="I41" i="1" s="1"/>
  <c r="H23" i="1"/>
  <c r="F24" i="1"/>
  <c r="I102" i="1"/>
  <c r="F103" i="1"/>
  <c r="I103" i="1" s="1"/>
  <c r="E103" i="1"/>
  <c r="F38" i="1"/>
  <c r="F39" i="1" s="1"/>
  <c r="F40" i="1"/>
  <c r="H37" i="1"/>
  <c r="F29" i="1"/>
  <c r="I29" i="1" s="1"/>
  <c r="E25" i="1"/>
  <c r="I24" i="1"/>
  <c r="H41" i="1" l="1"/>
  <c r="F30" i="1"/>
  <c r="I38" i="1"/>
  <c r="E26" i="1"/>
  <c r="H25" i="1"/>
  <c r="I39" i="1" l="1"/>
  <c r="I40" i="1"/>
  <c r="H26" i="1"/>
  <c r="E27" i="1"/>
  <c r="H27" i="1" l="1"/>
  <c r="E1" i="1" s="1"/>
  <c r="I30" i="1" l="1"/>
  <c r="I34" i="1"/>
  <c r="F1" i="1" s="1"/>
  <c r="G1" i="1" s="1"/>
</calcChain>
</file>

<file path=xl/sharedStrings.xml><?xml version="1.0" encoding="utf-8"?>
<sst xmlns="http://schemas.openxmlformats.org/spreadsheetml/2006/main" count="189" uniqueCount="92">
  <si>
    <t>n°</t>
  </si>
  <si>
    <t>débit</t>
  </si>
  <si>
    <t>crédit</t>
  </si>
  <si>
    <t>libellé</t>
  </si>
  <si>
    <t>Créanciers</t>
  </si>
  <si>
    <t>Banque</t>
  </si>
  <si>
    <t>Débiteurs</t>
  </si>
  <si>
    <t>TVA due</t>
  </si>
  <si>
    <t>Téléphone</t>
  </si>
  <si>
    <t>Vente de marchandise</t>
  </si>
  <si>
    <t>Ce n'est pas la nationalité qui compte, c'est le lieu de résidence. Bon ok c'est pas cool mais rappelez-vous de cela ;)</t>
  </si>
  <si>
    <t>NOVA - Exercice 1</t>
  </si>
  <si>
    <t>TVA à rec. s/ inv. et ace</t>
  </si>
  <si>
    <t>Pertes sur créances</t>
  </si>
  <si>
    <t>Créancieres</t>
  </si>
  <si>
    <t>Machines</t>
  </si>
  <si>
    <t>Achats Marchandise</t>
  </si>
  <si>
    <t>6000 = 108%, x = 100</t>
  </si>
  <si>
    <t>Rabais remises obt.</t>
  </si>
  <si>
    <t>TVA à rec. s/march.</t>
  </si>
  <si>
    <t>Rabais remises acc.</t>
  </si>
  <si>
    <t>Escomptes accordés</t>
  </si>
  <si>
    <t>30000 x 1.24</t>
  </si>
  <si>
    <t>Frais d'achats</t>
  </si>
  <si>
    <t>30000 x 1.23 x 8%</t>
  </si>
  <si>
    <t>Intérêts moratoires client</t>
  </si>
  <si>
    <t>(5607.35 - 1401.85) x 5 x 58j / 36000</t>
  </si>
  <si>
    <t>45000 x 1.22</t>
  </si>
  <si>
    <t>Escomptes obtenus</t>
  </si>
  <si>
    <t>TVA à rec. s/inv. et ace</t>
  </si>
  <si>
    <t>5607.35 - 1401.85 + 33.88</t>
  </si>
  <si>
    <t>ACE</t>
  </si>
  <si>
    <t>Caisse</t>
  </si>
  <si>
    <t>NOVA - Exercice 3</t>
  </si>
  <si>
    <t>Ventes marchandises</t>
  </si>
  <si>
    <t>Marge sur prix de vente</t>
  </si>
  <si>
    <t>10000 = 75%</t>
  </si>
  <si>
    <t>caisse</t>
  </si>
  <si>
    <t>rabais remises acc.</t>
  </si>
  <si>
    <t>Ventes de marchandises</t>
  </si>
  <si>
    <t>Achats de marchandise</t>
  </si>
  <si>
    <t>créanciers</t>
  </si>
  <si>
    <t>45000 x 1.24</t>
  </si>
  <si>
    <t>La tva devrait être précisée</t>
  </si>
  <si>
    <t>Tva due</t>
  </si>
  <si>
    <t>Frais d'expédidtion</t>
  </si>
  <si>
    <t>Moyen de paiement pas précisé</t>
  </si>
  <si>
    <t>tva due</t>
  </si>
  <si>
    <t>Pas d'info sur le taux de change</t>
  </si>
  <si>
    <t>moyen de paiement pas précisé</t>
  </si>
  <si>
    <t>Stock Marchandises</t>
  </si>
  <si>
    <t>Variation de stocks</t>
  </si>
  <si>
    <t>augmentation de stock</t>
  </si>
  <si>
    <t>45000 x 1.22 x 8%</t>
  </si>
  <si>
    <t>NOVA - Exercice 4</t>
  </si>
  <si>
    <t>NOVA - Exercice 5</t>
  </si>
  <si>
    <t>Capital</t>
  </si>
  <si>
    <t>Véhicules</t>
  </si>
  <si>
    <t>TVA à rec. s/inv. ace</t>
  </si>
  <si>
    <t>25000 x .85% / 1.08</t>
  </si>
  <si>
    <t>9000 x 1.22</t>
  </si>
  <si>
    <t>800 x 8%</t>
  </si>
  <si>
    <t>9000 x 1.25 x 8%</t>
  </si>
  <si>
    <t>Ventes Marchandises</t>
  </si>
  <si>
    <t>Rabais Accordés</t>
  </si>
  <si>
    <t>Escomptes Accordés</t>
  </si>
  <si>
    <t>8000 x 5%</t>
  </si>
  <si>
    <t>(8000 - 400 ) x 2%</t>
  </si>
  <si>
    <t>(8000 - 400 - 152) x 8%</t>
  </si>
  <si>
    <t>80% du montant TTC</t>
  </si>
  <si>
    <t>20% du montant, hors taxe</t>
  </si>
  <si>
    <t>20% du montant, uniquement la tva</t>
  </si>
  <si>
    <t>100% du montant TTC</t>
  </si>
  <si>
    <t>3% de 21250, moins la tva</t>
  </si>
  <si>
    <t>100000 x 2.25 x 32 / 36000</t>
  </si>
  <si>
    <t>Produits financiers</t>
  </si>
  <si>
    <t>IA à récupérer</t>
  </si>
  <si>
    <t>200 x 35%</t>
  </si>
  <si>
    <t>Prêts obtenus</t>
  </si>
  <si>
    <t>Charges financières</t>
  </si>
  <si>
    <t>40000 x 3% x 125 / 360</t>
  </si>
  <si>
    <t>Il n'y a pas de seuils pour les placements</t>
  </si>
  <si>
    <t>Pertes sur clients</t>
  </si>
  <si>
    <t>Poste</t>
  </si>
  <si>
    <t>(5400 x 1.08 ) + 120</t>
  </si>
  <si>
    <t>1000 = ttc</t>
  </si>
  <si>
    <t>(5952-1000-120) / 1.08 + 120</t>
  </si>
  <si>
    <t>80000x5%, 33'000x1.23x15%</t>
  </si>
  <si>
    <t>Suppression de la provision actuelle</t>
  </si>
  <si>
    <t>Ducroire</t>
  </si>
  <si>
    <t>C'est la compta qui se plie à la réalité</t>
  </si>
  <si>
    <t>NOVA - Exercice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</si>
</sst>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Helvetica"/>
      <family val="2"/>
    </font>
    <font>
      <sz val="9"/>
      <color theme="1"/>
      <name val="Helvetica"/>
      <family val="2"/>
    </font>
    <font>
      <sz val="10"/>
      <color rgb="FFFF0000"/>
      <name val="Helvetica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 applyProtection="1"/>
    <xf numFmtId="4" fontId="3" fillId="2" borderId="1" xfId="0" applyNumberFormat="1" applyFont="1" applyFill="1" applyBorder="1" applyProtection="1"/>
    <xf numFmtId="4" fontId="1" fillId="2" borderId="1" xfId="0" applyNumberFormat="1" applyFont="1" applyFill="1" applyBorder="1"/>
    <xf numFmtId="0" fontId="1" fillId="2" borderId="1" xfId="0" applyNumberFormat="1" applyFont="1" applyFill="1" applyBorder="1"/>
    <xf numFmtId="0" fontId="3" fillId="2" borderId="1" xfId="0" applyFont="1" applyFill="1" applyBorder="1" applyProtection="1"/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/>
    <xf numFmtId="0" fontId="2" fillId="2" borderId="5" xfId="0" applyFont="1" applyFill="1" applyBorder="1"/>
    <xf numFmtId="0" fontId="3" fillId="2" borderId="5" xfId="0" applyFont="1" applyFill="1" applyBorder="1" applyProtection="1"/>
    <xf numFmtId="4" fontId="1" fillId="2" borderId="5" xfId="0" applyNumberFormat="1" applyFont="1" applyFill="1" applyBorder="1"/>
    <xf numFmtId="0" fontId="4" fillId="2" borderId="0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Protection="1"/>
    <xf numFmtId="4" fontId="1" fillId="2" borderId="0" xfId="0" applyNumberFormat="1" applyFont="1" applyFill="1" applyBorder="1"/>
    <xf numFmtId="0" fontId="4" fillId="2" borderId="0" xfId="0" applyNumberFormat="1" applyFont="1" applyFill="1" applyBorder="1" applyAlignment="1">
      <alignment vertical="top"/>
    </xf>
    <xf numFmtId="0" fontId="1" fillId="2" borderId="6" xfId="0" applyFont="1" applyFill="1" applyBorder="1"/>
    <xf numFmtId="0" fontId="1" fillId="2" borderId="8" xfId="0" applyFont="1" applyFill="1" applyBorder="1"/>
    <xf numFmtId="0" fontId="4" fillId="2" borderId="7" xfId="0" applyNumberFormat="1" applyFont="1" applyFill="1" applyBorder="1"/>
    <xf numFmtId="0" fontId="1" fillId="2" borderId="7" xfId="0" applyFont="1" applyFill="1" applyBorder="1"/>
    <xf numFmtId="0" fontId="2" fillId="2" borderId="7" xfId="0" applyFont="1" applyFill="1" applyBorder="1"/>
    <xf numFmtId="0" fontId="3" fillId="2" borderId="7" xfId="0" applyFont="1" applyFill="1" applyBorder="1" applyProtection="1"/>
    <xf numFmtId="4" fontId="1" fillId="2" borderId="7" xfId="0" applyNumberFormat="1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77</xdr:row>
      <xdr:rowOff>285750</xdr:rowOff>
    </xdr:from>
    <xdr:to>
      <xdr:col>3</xdr:col>
      <xdr:colOff>1619250</xdr:colOff>
      <xdr:row>77</xdr:row>
      <xdr:rowOff>2106083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41C9348-E411-B64E-9706-2A88E11DBB1B}"/>
            </a:ext>
          </a:extLst>
        </xdr:cNvPr>
        <xdr:cNvSpPr txBox="1"/>
      </xdr:nvSpPr>
      <xdr:spPr>
        <a:xfrm>
          <a:off x="190501" y="13800667"/>
          <a:ext cx="4339166" cy="1820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PRAMA : Achats + Frais d'achats (sans TVA) - Rabais accordés</a:t>
          </a:r>
        </a:p>
        <a:p>
          <a:r>
            <a:rPr lang="fr-FR" sz="1100"/>
            <a:t>                 34'400 + (5'184/1.08) - 590 = </a:t>
          </a:r>
          <a:r>
            <a:rPr lang="fr-FR" sz="1100" u="sng"/>
            <a:t>38610</a:t>
          </a:r>
        </a:p>
        <a:p>
          <a:r>
            <a:rPr lang="fr-FR" sz="1100" u="none"/>
            <a:t>PRAMV :</a:t>
          </a:r>
          <a:r>
            <a:rPr lang="fr-FR" sz="1100" u="none" baseline="0"/>
            <a:t> PRAMA + diminution de stock</a:t>
          </a:r>
        </a:p>
        <a:p>
          <a:r>
            <a:rPr lang="fr-FR" sz="1100" u="none" baseline="0"/>
            <a:t>                 38'610 + 3'900 = </a:t>
          </a:r>
          <a:r>
            <a:rPr lang="fr-FR" sz="1100" u="sng" baseline="0"/>
            <a:t>42'510</a:t>
          </a:r>
          <a:endParaRPr lang="fr-FR" sz="1100" u="none" baseline="0"/>
        </a:p>
        <a:p>
          <a:r>
            <a:rPr lang="fr-FR" sz="1100" u="none" baseline="0"/>
            <a:t>BB          : CAN - PRAMV</a:t>
          </a:r>
        </a:p>
        <a:p>
          <a:r>
            <a:rPr lang="fr-FR" sz="1100" u="none" baseline="0"/>
            <a:t>                  80'900 - 900 - 42'510 = </a:t>
          </a:r>
          <a:r>
            <a:rPr lang="fr-FR" sz="1100" u="sng" baseline="0"/>
            <a:t>37490</a:t>
          </a:r>
          <a:endParaRPr lang="fr-FR" sz="1100" u="none" baseline="0"/>
        </a:p>
        <a:p>
          <a:r>
            <a:rPr lang="fr-FR" sz="1100" u="none" baseline="0"/>
            <a:t>Taux de BB</a:t>
          </a:r>
        </a:p>
        <a:p>
          <a:r>
            <a:rPr lang="fr-FR" sz="1100" u="none" baseline="0"/>
            <a:t>              :  37'490 / 80'000.- = </a:t>
          </a:r>
          <a:r>
            <a:rPr lang="fr-FR" sz="1100" u="sng" baseline="0"/>
            <a:t>46.86%</a:t>
          </a:r>
        </a:p>
        <a:p>
          <a:r>
            <a:rPr lang="fr-FR" sz="1100" u="none" baseline="0"/>
            <a:t>% de remise moyens accordés</a:t>
          </a:r>
        </a:p>
        <a:p>
          <a:r>
            <a:rPr lang="fr-FR" sz="1100" u="none" baseline="0"/>
            <a:t>              :  900 / 80'900 = </a:t>
          </a:r>
          <a:r>
            <a:rPr lang="fr-FR" sz="1100" u="sng" baseline="0"/>
            <a:t>1.11%</a:t>
          </a:r>
          <a:endParaRPr lang="fr-FR" sz="1100" u="none"/>
        </a:p>
      </xdr:txBody>
    </xdr:sp>
    <xdr:clientData/>
  </xdr:twoCellAnchor>
  <xdr:twoCellAnchor>
    <xdr:from>
      <xdr:col>0</xdr:col>
      <xdr:colOff>74083</xdr:colOff>
      <xdr:row>42</xdr:row>
      <xdr:rowOff>222250</xdr:rowOff>
    </xdr:from>
    <xdr:to>
      <xdr:col>8</xdr:col>
      <xdr:colOff>666749</xdr:colOff>
      <xdr:row>42</xdr:row>
      <xdr:rowOff>3259667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D870655-B92C-EA4A-ABBA-DA6906D0057F}"/>
            </a:ext>
          </a:extLst>
        </xdr:cNvPr>
        <xdr:cNvSpPr txBox="1"/>
      </xdr:nvSpPr>
      <xdr:spPr>
        <a:xfrm>
          <a:off x="74083" y="7810500"/>
          <a:ext cx="6328833" cy="30374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200 : 690'000 + 69'400 + 5'000 = </a:t>
          </a:r>
          <a:r>
            <a:rPr lang="fr-FR" sz="1100" u="sng"/>
            <a:t>764'400</a:t>
          </a:r>
        </a:p>
        <a:p>
          <a:r>
            <a:rPr lang="fr-FR" sz="1100" u="none"/>
            <a:t>220 : 45'000 ventes à l'étranger</a:t>
          </a:r>
          <a:r>
            <a:rPr lang="fr-FR" sz="1100" u="none" baseline="0"/>
            <a:t> + 20'000 EUR à 1.22 = </a:t>
          </a:r>
          <a:r>
            <a:rPr lang="fr-FR" sz="1100" u="sng"/>
            <a:t>69'400</a:t>
          </a:r>
          <a:r>
            <a:rPr lang="fr-FR" sz="1100" u="none"/>
            <a:t> </a:t>
          </a:r>
        </a:p>
        <a:p>
          <a:r>
            <a:rPr lang="fr-FR" sz="1100" u="none"/>
            <a:t>230 : Ventes non imposables =</a:t>
          </a:r>
          <a:r>
            <a:rPr lang="fr-FR" sz="1100" u="sng"/>
            <a:t>5'000</a:t>
          </a:r>
          <a:endParaRPr lang="fr-FR" sz="1100" u="none"/>
        </a:p>
        <a:p>
          <a:r>
            <a:rPr lang="fr-FR" sz="1100" u="none"/>
            <a:t>235</a:t>
          </a:r>
          <a:r>
            <a:rPr lang="fr-FR" sz="1100" u="none" baseline="0"/>
            <a:t> : Rabais accordés 5'600 (à 8%) et 1'200 (à 2.5%) = </a:t>
          </a:r>
          <a:r>
            <a:rPr lang="fr-FR" sz="1100" u="sng" baseline="0"/>
            <a:t>6'800</a:t>
          </a:r>
        </a:p>
        <a:p>
          <a:r>
            <a:rPr lang="fr-FR" sz="1100" u="none" baseline="0"/>
            <a:t>289 : 220 + 230 + 235 = </a:t>
          </a:r>
          <a:r>
            <a:rPr lang="fr-FR" sz="1100" u="sng" baseline="0"/>
            <a:t>81'200</a:t>
          </a:r>
          <a:endParaRPr lang="fr-FR" sz="1100" u="none" baseline="0"/>
        </a:p>
        <a:p>
          <a:r>
            <a:rPr lang="fr-FR" sz="1100" u="none" baseline="0"/>
            <a:t>299 : 200 - 289 = </a:t>
          </a:r>
          <a:r>
            <a:rPr lang="fr-FR" sz="1100" u="sng" baseline="0"/>
            <a:t>683'200</a:t>
          </a:r>
          <a:endParaRPr lang="fr-FR" sz="1100" u="none" baseline="0"/>
        </a:p>
        <a:p>
          <a:r>
            <a:rPr lang="fr-FR" sz="1100" u="none" baseline="0"/>
            <a:t>300 : Ventes à 8% - Rabais accorés à 8% : 3/4 de 690'000 - 5600 = </a:t>
          </a:r>
          <a:r>
            <a:rPr lang="fr-FR" sz="1100" u="sng" baseline="0"/>
            <a:t>511'900</a:t>
          </a:r>
          <a:r>
            <a:rPr lang="fr-FR" sz="1100" u="none" baseline="0"/>
            <a:t> / 511'900 x 8 / 108 = </a:t>
          </a:r>
          <a:r>
            <a:rPr lang="fr-FR" sz="1100" u="sng" baseline="0"/>
            <a:t>37'918.50</a:t>
          </a:r>
        </a:p>
        <a:p>
          <a:r>
            <a:rPr lang="fr-FR" sz="1100" u="none" baseline="0"/>
            <a:t>310 : Ventes 2.5% - Rabais 2.5% : 1/4 de 69'000.- - 1'200 = </a:t>
          </a:r>
          <a:r>
            <a:rPr lang="fr-FR" sz="1100" u="sng" baseline="0"/>
            <a:t>171'300</a:t>
          </a:r>
          <a:r>
            <a:rPr lang="fr-FR" sz="1100" u="none" baseline="0"/>
            <a:t> / 171'300 x 2.5/102.5 = </a:t>
          </a:r>
          <a:r>
            <a:rPr lang="fr-FR" sz="1100" u="sng" baseline="0"/>
            <a:t>4'178.05</a:t>
          </a:r>
        </a:p>
        <a:p>
          <a:r>
            <a:rPr lang="fr-FR" sz="1100" u="none" baseline="0"/>
            <a:t>380 : Rien du tout (la formation est exclue du champ de l'imp</a:t>
          </a:r>
          <a:r>
            <a:rPr lang="fr-CH" sz="1100" u="none" baseline="0"/>
            <a:t>ôt - pas d'autofacturation pour le belge. </a:t>
          </a:r>
          <a:endParaRPr lang="fr-FR" sz="1100" u="none" baseline="0"/>
        </a:p>
        <a:p>
          <a:r>
            <a:rPr lang="fr-FR" sz="1100" u="none" baseline="0"/>
            <a:t>399 : 300 + 310 = </a:t>
          </a:r>
          <a:r>
            <a:rPr lang="fr-FR" sz="1100" u="sng" baseline="0"/>
            <a:t>42'096.55</a:t>
          </a:r>
          <a:endParaRPr lang="fr-FR" sz="1100" u="none" baseline="0"/>
        </a:p>
        <a:p>
          <a:r>
            <a:rPr lang="fr-FR" sz="1100" u="none" baseline="0"/>
            <a:t>400 : Achats à 8 - rabais de véronique à 8 = 1785.20 de TVA</a:t>
          </a:r>
        </a:p>
        <a:p>
          <a:r>
            <a:rPr lang="fr-FR" sz="1100" u="none" baseline="0"/>
            <a:t>          Achats à 2.5% : 40'000 = 975.60 de TVA</a:t>
          </a:r>
        </a:p>
        <a:p>
          <a:r>
            <a:rPr lang="fr-FR" sz="1100" u="none" baseline="0"/>
            <a:t>          Total TVA case 400 : 1785.20 + 975.60 = </a:t>
          </a:r>
          <a:r>
            <a:rPr lang="fr-FR" sz="1100" u="sng" baseline="0"/>
            <a:t>2'760.80</a:t>
          </a:r>
          <a:endParaRPr lang="fr-FR" sz="1100" u="none" baseline="0"/>
        </a:p>
        <a:p>
          <a:r>
            <a:rPr lang="fr-FR" sz="1100" u="none" baseline="0"/>
            <a:t>405 : TVA sur l'achat de la machine + TVA sur nuit d'h</a:t>
          </a:r>
          <a:r>
            <a:rPr lang="fr-CH" sz="1100" u="none" baseline="0"/>
            <a:t>ôtel = 4'275 + 5.55 = </a:t>
          </a:r>
          <a:r>
            <a:rPr lang="fr-CH" sz="1100" u="sng" baseline="0"/>
            <a:t>4280.55</a:t>
          </a:r>
        </a:p>
        <a:p>
          <a:r>
            <a:rPr lang="fr-CH" sz="1100" u="none" baseline="0"/>
            <a:t>415 : TVA sur prestation à soi-même à 2.5% = </a:t>
          </a:r>
          <a:r>
            <a:rPr lang="fr-CH" sz="1100" u="sng" baseline="0"/>
            <a:t>390.25</a:t>
          </a:r>
        </a:p>
        <a:p>
          <a:r>
            <a:rPr lang="fr-FR" sz="1100" u="none" baseline="0"/>
            <a:t>479 : 400+ 405 - 415 = </a:t>
          </a:r>
          <a:r>
            <a:rPr lang="fr-FR" sz="1100" u="sng" baseline="0"/>
            <a:t>6'650.30</a:t>
          </a:r>
        </a:p>
        <a:p>
          <a:r>
            <a:rPr lang="fr-FR" sz="1100" u="none" baseline="0"/>
            <a:t>500 : 399 - 479 = </a:t>
          </a:r>
          <a:r>
            <a:rPr lang="fr-FR" sz="1100" u="sng" baseline="0"/>
            <a:t>35'446.25</a:t>
          </a:r>
          <a:endParaRPr lang="fr-FR" sz="1100" u="none" baseline="0"/>
        </a:p>
        <a:p>
          <a:endParaRPr lang="fr-FR" sz="1100" u="none" baseline="0"/>
        </a:p>
        <a:p>
          <a:r>
            <a:rPr lang="fr-FR" sz="1100" u="none" baseline="0"/>
            <a:t>          </a:t>
          </a:r>
        </a:p>
        <a:p>
          <a:endParaRPr lang="fr-FR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131"/>
  <sheetViews>
    <sheetView tabSelected="1" topLeftCell="A37" zoomScale="120" zoomScaleNormal="120" workbookViewId="0">
      <selection activeCell="E98" sqref="E98"/>
    </sheetView>
  </sheetViews>
  <sheetFormatPr baseColWidth="10" defaultColWidth="11.42578125" defaultRowHeight="12.75" x14ac:dyDescent="0.2"/>
  <cols>
    <col min="1" max="1" width="3.140625" style="7" bestFit="1" customWidth="1"/>
    <col min="2" max="3" width="17.42578125" style="2" customWidth="1"/>
    <col min="4" max="4" width="25.42578125" style="3" customWidth="1"/>
    <col min="5" max="6" width="11.42578125" style="8" customWidth="1"/>
    <col min="7" max="7" width="8.42578125" style="8" bestFit="1" customWidth="1"/>
    <col min="8" max="9" width="11.42578125" style="6" customWidth="1"/>
    <col min="10" max="16384" width="11.42578125" style="2"/>
  </cols>
  <sheetData>
    <row r="1" spans="1:9" x14ac:dyDescent="0.2">
      <c r="A1" s="1" t="s">
        <v>11</v>
      </c>
      <c r="E1" s="4">
        <f>SUM(H3:H979)</f>
        <v>756835.25</v>
      </c>
      <c r="F1" s="4">
        <f>SUM(I3:I979)</f>
        <v>753738.3</v>
      </c>
      <c r="G1" s="5">
        <f>E1-F1</f>
        <v>3096.9499999999534</v>
      </c>
    </row>
    <row r="2" spans="1:9" x14ac:dyDescent="0.2">
      <c r="A2" s="7" t="s">
        <v>0</v>
      </c>
      <c r="B2" s="2" t="s">
        <v>1</v>
      </c>
      <c r="C2" s="2" t="s">
        <v>2</v>
      </c>
      <c r="D2" s="3" t="s">
        <v>3</v>
      </c>
      <c r="E2" s="8" t="s">
        <v>1</v>
      </c>
      <c r="F2" s="8" t="s">
        <v>2</v>
      </c>
      <c r="H2" s="6" t="s">
        <v>1</v>
      </c>
      <c r="I2" s="6" t="s">
        <v>2</v>
      </c>
    </row>
    <row r="3" spans="1:9" ht="25.5" x14ac:dyDescent="0.2">
      <c r="A3" s="7">
        <v>1</v>
      </c>
      <c r="B3" s="9"/>
      <c r="C3" s="9" t="s">
        <v>9</v>
      </c>
      <c r="D3" s="27" t="s">
        <v>10</v>
      </c>
      <c r="E3" s="5"/>
      <c r="F3" s="5">
        <f>E5/1.08</f>
        <v>3703.7037037037035</v>
      </c>
      <c r="G3" s="8">
        <f t="shared" ref="G3" si="0">IF(ISNUMBER(A3),A3,IF(ISNUMBER(A2),A2,IF(ISNUMBER(A1),A1,IF(ISNUMBER(#REF!),#REF!,IF(ISNUMBER(#REF!),#REF!,"")))))</f>
        <v>1</v>
      </c>
      <c r="H3" s="6" t="str">
        <f>IF(B3="","-",IF(ISNUMBER(E3),MROUND(E3,0.05),"calcul"))</f>
        <v>-</v>
      </c>
      <c r="I3" s="6">
        <f>IF(C3="","-",IF(ISNUMBER(F3),MROUND(F3,0.05),"calcul"))</f>
        <v>3703.7000000000003</v>
      </c>
    </row>
    <row r="4" spans="1:9" x14ac:dyDescent="0.2">
      <c r="B4" s="9"/>
      <c r="C4" s="9" t="s">
        <v>7</v>
      </c>
      <c r="D4" s="28"/>
      <c r="E4" s="5"/>
      <c r="F4" s="5">
        <f>E5-F3</f>
        <v>296.29629629629653</v>
      </c>
      <c r="G4" s="8">
        <f t="shared" ref="G4:G39" si="1">IF(ISNUMBER(A4),A4,IF(ISNUMBER(A3),A3,IF(ISNUMBER(A2),A2,IF(ISNUMBER(A1),A1,IF(ISNUMBER(#REF!),#REF!,"")))))</f>
        <v>1</v>
      </c>
      <c r="H4" s="6" t="str">
        <f t="shared" ref="H4:H18" si="2">IF(B4="","-",IF(ISNUMBER(E4),MROUND(E4,0.05),"calcul"))</f>
        <v>-</v>
      </c>
      <c r="I4" s="6">
        <f t="shared" ref="I4:I18" si="3">IF(C4="","-",IF(ISNUMBER(F4),MROUND(F4,0.05),"calcul"))</f>
        <v>296.3</v>
      </c>
    </row>
    <row r="5" spans="1:9" x14ac:dyDescent="0.2">
      <c r="B5" s="9" t="s">
        <v>6</v>
      </c>
      <c r="C5" s="9"/>
      <c r="D5" s="29"/>
      <c r="E5" s="5">
        <v>4000</v>
      </c>
      <c r="F5" s="5"/>
      <c r="G5" s="8">
        <f t="shared" si="1"/>
        <v>1</v>
      </c>
      <c r="H5" s="6">
        <f t="shared" si="2"/>
        <v>4000</v>
      </c>
      <c r="I5" s="6" t="str">
        <f t="shared" si="3"/>
        <v>-</v>
      </c>
    </row>
    <row r="6" spans="1:9" x14ac:dyDescent="0.2">
      <c r="A6" s="7">
        <v>2</v>
      </c>
      <c r="B6" s="9" t="s">
        <v>8</v>
      </c>
      <c r="C6" s="9"/>
      <c r="E6" s="5">
        <f>F8/1.08</f>
        <v>400</v>
      </c>
      <c r="F6" s="5"/>
      <c r="G6" s="8">
        <f t="shared" si="1"/>
        <v>2</v>
      </c>
      <c r="H6" s="6">
        <f t="shared" si="2"/>
        <v>400</v>
      </c>
      <c r="I6" s="6" t="str">
        <f t="shared" si="3"/>
        <v>-</v>
      </c>
    </row>
    <row r="7" spans="1:9" ht="25.5" x14ac:dyDescent="0.2">
      <c r="B7" s="9" t="s">
        <v>12</v>
      </c>
      <c r="C7" s="9"/>
      <c r="E7" s="5">
        <f>F8-E6</f>
        <v>32</v>
      </c>
      <c r="F7" s="5"/>
      <c r="G7" s="8">
        <f t="shared" si="1"/>
        <v>2</v>
      </c>
      <c r="H7" s="6">
        <f t="shared" si="2"/>
        <v>32</v>
      </c>
      <c r="I7" s="6" t="str">
        <f t="shared" si="3"/>
        <v>-</v>
      </c>
    </row>
    <row r="8" spans="1:9" x14ac:dyDescent="0.2">
      <c r="B8" s="9"/>
      <c r="C8" s="9" t="s">
        <v>4</v>
      </c>
      <c r="E8" s="5"/>
      <c r="F8" s="5">
        <v>432</v>
      </c>
      <c r="G8" s="8">
        <f t="shared" si="1"/>
        <v>2</v>
      </c>
      <c r="H8" s="6" t="str">
        <f t="shared" si="2"/>
        <v>-</v>
      </c>
      <c r="I8" s="6">
        <f t="shared" si="3"/>
        <v>432</v>
      </c>
    </row>
    <row r="9" spans="1:9" ht="25.5" x14ac:dyDescent="0.2">
      <c r="A9" s="7">
        <v>3</v>
      </c>
      <c r="B9" s="9" t="s">
        <v>13</v>
      </c>
      <c r="C9" s="9"/>
      <c r="E9" s="5">
        <v>1000</v>
      </c>
      <c r="F9" s="5"/>
      <c r="G9" s="8">
        <f t="shared" si="1"/>
        <v>3</v>
      </c>
      <c r="H9" s="6">
        <f t="shared" si="2"/>
        <v>1000</v>
      </c>
      <c r="I9" s="6" t="str">
        <f t="shared" si="3"/>
        <v>-</v>
      </c>
    </row>
    <row r="10" spans="1:9" x14ac:dyDescent="0.2">
      <c r="B10" s="9" t="s">
        <v>7</v>
      </c>
      <c r="C10" s="9"/>
      <c r="E10" s="5">
        <v>80</v>
      </c>
      <c r="F10" s="5"/>
      <c r="G10" s="8">
        <f t="shared" si="1"/>
        <v>3</v>
      </c>
      <c r="H10" s="6">
        <f t="shared" si="2"/>
        <v>80</v>
      </c>
      <c r="I10" s="6" t="str">
        <f t="shared" si="3"/>
        <v>-</v>
      </c>
    </row>
    <row r="11" spans="1:9" x14ac:dyDescent="0.2">
      <c r="B11" s="9"/>
      <c r="C11" s="9" t="s">
        <v>6</v>
      </c>
      <c r="E11" s="5"/>
      <c r="F11" s="5">
        <v>1080</v>
      </c>
      <c r="G11" s="8">
        <f t="shared" si="1"/>
        <v>3</v>
      </c>
      <c r="H11" s="6" t="str">
        <f t="shared" si="2"/>
        <v>-</v>
      </c>
      <c r="I11" s="6">
        <f t="shared" si="3"/>
        <v>1080</v>
      </c>
    </row>
    <row r="12" spans="1:9" x14ac:dyDescent="0.2">
      <c r="A12" s="7">
        <v>4</v>
      </c>
      <c r="B12" s="9" t="s">
        <v>14</v>
      </c>
      <c r="C12" s="9" t="s">
        <v>5</v>
      </c>
      <c r="E12" s="5">
        <f>F8</f>
        <v>432</v>
      </c>
      <c r="F12" s="5">
        <f>IF(G12=G13,"",E12)</f>
        <v>432</v>
      </c>
      <c r="G12" s="8">
        <f t="shared" si="1"/>
        <v>4</v>
      </c>
      <c r="H12" s="6">
        <f t="shared" si="2"/>
        <v>432</v>
      </c>
      <c r="I12" s="6">
        <f t="shared" si="3"/>
        <v>432</v>
      </c>
    </row>
    <row r="13" spans="1:9" x14ac:dyDescent="0.2">
      <c r="A13" s="7">
        <v>5</v>
      </c>
      <c r="B13" s="9" t="s">
        <v>15</v>
      </c>
      <c r="C13" s="9"/>
      <c r="E13" s="5">
        <v>5300</v>
      </c>
      <c r="F13" s="5" t="str">
        <f>IF(G13=G14,"",E13)</f>
        <v/>
      </c>
      <c r="G13" s="8">
        <f t="shared" si="1"/>
        <v>5</v>
      </c>
      <c r="H13" s="6">
        <f t="shared" si="2"/>
        <v>5300</v>
      </c>
      <c r="I13" s="6" t="str">
        <f t="shared" si="3"/>
        <v>-</v>
      </c>
    </row>
    <row r="14" spans="1:9" ht="25.5" x14ac:dyDescent="0.2">
      <c r="B14" s="9" t="s">
        <v>12</v>
      </c>
      <c r="C14" s="9"/>
      <c r="E14" s="5">
        <f>0.08*E13</f>
        <v>424</v>
      </c>
      <c r="F14" s="5" t="str">
        <f t="shared" ref="F14" si="4">IF(G14=G15,"",E14)</f>
        <v/>
      </c>
      <c r="G14" s="8">
        <f t="shared" si="1"/>
        <v>5</v>
      </c>
      <c r="H14" s="6">
        <f t="shared" si="2"/>
        <v>424</v>
      </c>
      <c r="I14" s="6" t="str">
        <f t="shared" si="3"/>
        <v>-</v>
      </c>
    </row>
    <row r="15" spans="1:9" x14ac:dyDescent="0.2">
      <c r="B15" s="9"/>
      <c r="C15" s="9" t="s">
        <v>4</v>
      </c>
      <c r="E15" s="5"/>
      <c r="F15" s="5">
        <f>IF(G15=G16,"",
IF(G15=G10,SUM(E10:E14)-SUM(F10:F14),
IF(G15=G11,SUM(E11:E14)-SUM(F11:F14),
IF(G15=G12,SUM(E12:E14)-SUM(F12:F14),
IF(G15=G13,SUM(E13:E14)-SUM(F13:F14),"calcul")))))</f>
        <v>5724</v>
      </c>
      <c r="G15" s="8">
        <f t="shared" si="1"/>
        <v>5</v>
      </c>
      <c r="H15" s="6" t="str">
        <f t="shared" si="2"/>
        <v>-</v>
      </c>
      <c r="I15" s="6">
        <f t="shared" si="3"/>
        <v>5724</v>
      </c>
    </row>
    <row r="16" spans="1:9" ht="25.5" x14ac:dyDescent="0.2">
      <c r="A16" s="7">
        <v>6</v>
      </c>
      <c r="B16" s="9" t="s">
        <v>16</v>
      </c>
      <c r="C16" s="9"/>
      <c r="D16" s="3" t="s">
        <v>17</v>
      </c>
      <c r="E16" s="5">
        <f>6000/1.08</f>
        <v>5555.5555555555547</v>
      </c>
      <c r="F16" s="5" t="str">
        <f t="shared" ref="F16:F19" si="5">IF(G16=G17,"",
IF(G16=G11,SUM(E11:E15)-SUM(F11:F15),
IF(G16=G12,SUM(E12:E15)-SUM(F12:F15),
IF(G16=G13,SUM(E13:E15)-SUM(F13:F15),
IF(G16=G14,SUM(E14:E15)-SUM(F14:F15),"calcul")))))</f>
        <v/>
      </c>
      <c r="G16" s="8">
        <f t="shared" si="1"/>
        <v>6</v>
      </c>
      <c r="H16" s="6">
        <f t="shared" si="2"/>
        <v>5555.55</v>
      </c>
      <c r="I16" s="6" t="str">
        <f t="shared" si="3"/>
        <v>-</v>
      </c>
    </row>
    <row r="17" spans="1:9" x14ac:dyDescent="0.2">
      <c r="C17" s="2" t="s">
        <v>18</v>
      </c>
      <c r="E17" s="5"/>
      <c r="F17" s="5">
        <f>E16*0.05</f>
        <v>277.77777777777777</v>
      </c>
      <c r="G17" s="8">
        <f t="shared" si="1"/>
        <v>6</v>
      </c>
      <c r="H17" s="6" t="str">
        <f t="shared" si="2"/>
        <v>-</v>
      </c>
      <c r="I17" s="6">
        <f t="shared" si="3"/>
        <v>277.8</v>
      </c>
    </row>
    <row r="18" spans="1:9" x14ac:dyDescent="0.2">
      <c r="B18" s="2" t="s">
        <v>19</v>
      </c>
      <c r="E18" s="5">
        <f>(E16-F17)*0.08</f>
        <v>422.22222222222217</v>
      </c>
      <c r="F18" s="5" t="str">
        <f t="shared" si="5"/>
        <v/>
      </c>
      <c r="G18" s="8">
        <f t="shared" si="1"/>
        <v>6</v>
      </c>
      <c r="H18" s="6">
        <f t="shared" si="2"/>
        <v>422.20000000000005</v>
      </c>
      <c r="I18" s="6" t="str">
        <f t="shared" si="3"/>
        <v>-</v>
      </c>
    </row>
    <row r="19" spans="1:9" x14ac:dyDescent="0.2">
      <c r="C19" s="2" t="s">
        <v>4</v>
      </c>
      <c r="E19" s="5"/>
      <c r="F19" s="5">
        <f t="shared" si="5"/>
        <v>5700</v>
      </c>
      <c r="G19" s="8">
        <f t="shared" si="1"/>
        <v>6</v>
      </c>
      <c r="H19" s="6" t="str">
        <f t="shared" ref="H19:H36" si="6">IF(B19="","-",IF(ISNUMBER(E19),MROUND(E19,0.05),"calcul"))</f>
        <v>-</v>
      </c>
      <c r="I19" s="6">
        <f t="shared" ref="I19:I36" si="7">IF(C19="","-",IF(ISNUMBER(F19),MROUND(F19,0.05),"calcul"))</f>
        <v>5700</v>
      </c>
    </row>
    <row r="20" spans="1:9" x14ac:dyDescent="0.2">
      <c r="A20" s="7">
        <v>7</v>
      </c>
      <c r="C20" s="2" t="s">
        <v>9</v>
      </c>
      <c r="E20" s="5"/>
      <c r="F20" s="5">
        <v>5900</v>
      </c>
      <c r="G20" s="8">
        <f t="shared" si="1"/>
        <v>7</v>
      </c>
      <c r="H20" s="6" t="str">
        <f t="shared" si="6"/>
        <v>-</v>
      </c>
      <c r="I20" s="6">
        <f t="shared" si="7"/>
        <v>5900</v>
      </c>
    </row>
    <row r="21" spans="1:9" x14ac:dyDescent="0.2">
      <c r="B21" s="2" t="s">
        <v>20</v>
      </c>
      <c r="E21" s="5">
        <f>F20*0.12</f>
        <v>708</v>
      </c>
      <c r="F21" s="5" t="str">
        <f t="shared" ref="F21" si="8">IF(IF(G21=G22,"",
IF(G21=G16,SUM(E16:E20)-SUM(F16:F20),
IF(G21=G17,SUM(E17:E20)-SUM(F17:F20),
IF(G21=G18,SUM(E18:E20)-SUM(F18:F20),
IF(G21=G19,SUM(E19:E20)-SUM(F19:F20),"calcul")))))&lt;0,"",
IF(G21=G22,"",
IF(G21=G16,SUM(E16:E20)-SUM(F16:F20),
IF(G21=G17,SUM(E17:E20)-SUM(F17:F20),
IF(G21=G18,SUM(E18:E20)-SUM(F18:F20),
IF(G21=G19,SUM(E19:E20)-SUM(F19:F20),"calcul"))))))</f>
        <v/>
      </c>
      <c r="G21" s="8">
        <f t="shared" si="1"/>
        <v>7</v>
      </c>
      <c r="H21" s="6">
        <f t="shared" si="6"/>
        <v>708</v>
      </c>
      <c r="I21" s="6" t="str">
        <f t="shared" si="7"/>
        <v>-</v>
      </c>
    </row>
    <row r="22" spans="1:9" x14ac:dyDescent="0.2">
      <c r="C22" s="2" t="s">
        <v>7</v>
      </c>
      <c r="E22" s="5" t="str">
        <f t="shared" ref="E22" si="9">IF(IF(G22=G23,"",
IF(G22=G17,SUM(F17:F21)-SUM(E17:E21),
IF(G22=G18,SUM(F18:F21)-SUM(E18:E21),
IF(G22=G19,SUM(F19:F21)-SUM(E19:F21),
IF(G22=G20,SUM(F20:F21)-SUM(E20:F21),0)))))&lt;0,"",
IF(G22=G23,"",
IF(G22=G17,SUM(F17:F21)-SUM(E17:E21),
IF(G22=G18,SUM(F18:F21)-SUM(E18:E21),
IF(G22=G19,SUM(F19:F21)-SUM(E19:E21),
IF(G22=G20,SUM(F20:F21)-SUM(E20:E21),0))))))</f>
        <v/>
      </c>
      <c r="F22" s="5">
        <f>(F20-E21)*0.08</f>
        <v>415.36</v>
      </c>
      <c r="G22" s="8">
        <f t="shared" si="1"/>
        <v>7</v>
      </c>
      <c r="H22" s="6" t="str">
        <f t="shared" si="6"/>
        <v>-</v>
      </c>
      <c r="I22" s="6">
        <f t="shared" si="7"/>
        <v>415.35</v>
      </c>
    </row>
    <row r="23" spans="1:9" x14ac:dyDescent="0.2">
      <c r="B23" s="2" t="s">
        <v>6</v>
      </c>
      <c r="E23" s="5">
        <f>IF(G23=G24,"",
IF(ISTEXT(C23),"",
IF(G16=G23,SUM(F16:F22)-SUM(E16:E22),
IF(G17=G23,SUM(F16:F22)-SUM(E16:E22),
IF(G18=G23,SUM(F18:F22)-SUM(E18:E22),
IF(G19=G23,SUM(F19:F22)-SUM(E19:E22),
IF(G20=G23,SUM(F20:F22)-SUM(E20:E22),
IF(G21=G23,SUM(F21:F23)-SUM(E21:E23),
IF(G22=G23,SUM(F22:F23)-SUM(E22:E23),
"calcul")))))))))</f>
        <v>5607.36</v>
      </c>
      <c r="F23" s="5" t="str">
        <f>IF(G23=G24,"",
IF(ISTEXT(B23),"",
IF(G16=G23,SUM(E16:E22)-SUM(F16:F22),
IF(G17=G23,SUM(E17:E22)-SUM(F17:F22),
IF(G18=G23,SUM(E18:E22)-SUM(F18:F22),
IF(G19=G23,SUM(E19:E22)-SUM(F19:F22),
IF(G20=G23,SUM(E20:E22)-SUM(F20:F22),
IF(G21=G23,SUM(E21:E23)-SUM(F21:F23),
IF(G22=G23,SUM(E22:E23)-SUM(F22:F23),
"calcul")))))))))</f>
        <v/>
      </c>
      <c r="G23" s="8">
        <f t="shared" si="1"/>
        <v>7</v>
      </c>
      <c r="H23" s="6">
        <f>IF(B23="","-",IF(ISNUMBER(E23),MROUND(E23,0.05),"calcul"))</f>
        <v>5607.35</v>
      </c>
      <c r="I23" s="6" t="str">
        <f t="shared" si="7"/>
        <v>-</v>
      </c>
    </row>
    <row r="24" spans="1:9" x14ac:dyDescent="0.2">
      <c r="A24" s="7">
        <v>8</v>
      </c>
      <c r="C24" s="2" t="s">
        <v>6</v>
      </c>
      <c r="E24" s="5" t="str">
        <f t="shared" ref="E24:E29" si="10">IF(G24=G25,"",
IF(ISTEXT(C24),"",
IF(G17=G24,SUM(F17:F23)-SUM(E17:E23),
IF(G18=G24,SUM(F17:F23)-SUM(E17:E23),
IF(G19=G24,SUM(F19:F23)-SUM(E19:E23),
IF(G20=G24,SUM(F20:F23)-SUM(E20:E23),
IF(G21=G24,SUM(F21:F23)-SUM(E21:E23),
IF(G22=G24,SUM(F22:F24)-SUM(E22:E24),
IF(G23=G24,SUM(F23:F24)-SUM(E23:E24),
"calcul")))))))))</f>
        <v/>
      </c>
      <c r="F24" s="5">
        <f>E23/4</f>
        <v>1401.84</v>
      </c>
      <c r="G24" s="8">
        <f t="shared" si="1"/>
        <v>8</v>
      </c>
      <c r="H24" s="6" t="str">
        <f t="shared" si="6"/>
        <v>-</v>
      </c>
      <c r="I24" s="6">
        <f t="shared" si="7"/>
        <v>1401.8500000000001</v>
      </c>
    </row>
    <row r="25" spans="1:9" x14ac:dyDescent="0.2">
      <c r="B25" s="2" t="s">
        <v>21</v>
      </c>
      <c r="E25" s="5">
        <f>F24*0.02/1.08</f>
        <v>25.959999999999997</v>
      </c>
      <c r="F25" s="5" t="str">
        <f t="shared" ref="F25:F33" si="11">IF(G25=G26,"",
IF(ISTEXT(B25),"",
IF(G18=G25,SUM(E18:E24)-SUM(F18:F24),
IF(G19=G25,SUM(E19:E24)-SUM(F19:F24),
IF(G20=G25,SUM(E20:E24)-SUM(F20:F24),
IF(G21=G25,SUM(E21:E24)-SUM(F21:F24),
IF(G22=G25,SUM(E22:E24)-SUM(F22:F24),
IF(G23=G25,SUM(E23:E25)-SUM(F23:F25),
IF(G24=G25,SUM(E24:E25)-SUM(F24:F25),
"calcul")))))))))</f>
        <v/>
      </c>
      <c r="G25" s="8">
        <f t="shared" si="1"/>
        <v>8</v>
      </c>
      <c r="H25" s="6">
        <f t="shared" si="6"/>
        <v>25.950000000000003</v>
      </c>
      <c r="I25" s="6" t="str">
        <f t="shared" si="7"/>
        <v>-</v>
      </c>
    </row>
    <row r="26" spans="1:9" x14ac:dyDescent="0.2">
      <c r="B26" s="2" t="s">
        <v>7</v>
      </c>
      <c r="E26" s="5">
        <f>E25*0.08</f>
        <v>2.0768</v>
      </c>
      <c r="F26" s="5" t="str">
        <f t="shared" si="11"/>
        <v/>
      </c>
      <c r="G26" s="8">
        <f t="shared" si="1"/>
        <v>8</v>
      </c>
      <c r="H26" s="6">
        <f t="shared" si="6"/>
        <v>2.1</v>
      </c>
      <c r="I26" s="6" t="str">
        <f t="shared" si="7"/>
        <v>-</v>
      </c>
    </row>
    <row r="27" spans="1:9" x14ac:dyDescent="0.2">
      <c r="B27" s="2" t="s">
        <v>5</v>
      </c>
      <c r="E27" s="5">
        <f t="shared" si="10"/>
        <v>1373.8031999999998</v>
      </c>
      <c r="F27" s="5" t="str">
        <f t="shared" si="11"/>
        <v/>
      </c>
      <c r="G27" s="8">
        <f t="shared" si="1"/>
        <v>8</v>
      </c>
      <c r="H27" s="6">
        <f t="shared" si="6"/>
        <v>1373.8000000000002</v>
      </c>
      <c r="I27" s="6" t="str">
        <f t="shared" si="7"/>
        <v>-</v>
      </c>
    </row>
    <row r="28" spans="1:9" x14ac:dyDescent="0.2">
      <c r="A28" s="7">
        <v>9</v>
      </c>
      <c r="B28" s="2" t="s">
        <v>14</v>
      </c>
      <c r="E28" s="5">
        <f>F19/10</f>
        <v>570</v>
      </c>
      <c r="F28" s="5" t="str">
        <f t="shared" si="11"/>
        <v/>
      </c>
      <c r="G28" s="8">
        <f t="shared" si="1"/>
        <v>9</v>
      </c>
      <c r="H28" s="6">
        <f t="shared" si="6"/>
        <v>570</v>
      </c>
      <c r="I28" s="6" t="str">
        <f t="shared" si="7"/>
        <v>-</v>
      </c>
    </row>
    <row r="29" spans="1:9" x14ac:dyDescent="0.2">
      <c r="C29" s="2" t="s">
        <v>19</v>
      </c>
      <c r="E29" s="5" t="str">
        <f t="shared" si="10"/>
        <v/>
      </c>
      <c r="F29" s="5">
        <f>E28/1.08*0.08</f>
        <v>42.222222222222221</v>
      </c>
      <c r="G29" s="8">
        <f t="shared" si="1"/>
        <v>9</v>
      </c>
      <c r="H29" s="6" t="str">
        <f t="shared" si="6"/>
        <v>-</v>
      </c>
      <c r="I29" s="6">
        <f t="shared" si="7"/>
        <v>42.2</v>
      </c>
    </row>
    <row r="30" spans="1:9" x14ac:dyDescent="0.2">
      <c r="C30" s="2" t="s">
        <v>18</v>
      </c>
      <c r="E30" s="5" t="str">
        <f t="shared" ref="E30" si="12">IF(G30=G31,"",
IF(ISTEXT(C30),"",
IF(G23=G30,SUM(F23:F29)-SUM(E23:E29),
IF(G24=G30,SUM(F23:F29)-SUM(E23:E29),
IF(G25=G30,SUM(F25:F29)-SUM(E25:E29),
IF(G26=G30,SUM(F26:F29)-SUM(E26:E29),
IF(G27=G30,SUM(F27:F29)-SUM(E27:E29),
IF(G28=G30,SUM(F28:F30)-SUM(E28:E30),
IF(G29=G30,SUM(F29:F30)-SUM(E29:E30),
"calcul")))))))))</f>
        <v/>
      </c>
      <c r="F30" s="5">
        <f>E28-F29</f>
        <v>527.77777777777783</v>
      </c>
      <c r="G30" s="8">
        <f t="shared" si="1"/>
        <v>9</v>
      </c>
      <c r="H30" s="6" t="str">
        <f t="shared" si="6"/>
        <v>-</v>
      </c>
      <c r="I30" s="6">
        <f t="shared" si="7"/>
        <v>527.80000000000007</v>
      </c>
    </row>
    <row r="31" spans="1:9" x14ac:dyDescent="0.2">
      <c r="A31" s="7">
        <v>10</v>
      </c>
      <c r="B31" s="2" t="s">
        <v>16</v>
      </c>
      <c r="C31" s="2" t="s">
        <v>4</v>
      </c>
      <c r="D31" s="3" t="s">
        <v>22</v>
      </c>
      <c r="E31" s="5">
        <f>30000*1.24</f>
        <v>37200</v>
      </c>
      <c r="F31" s="5">
        <v>37200</v>
      </c>
      <c r="G31" s="8">
        <f t="shared" si="1"/>
        <v>10</v>
      </c>
      <c r="H31" s="6">
        <f t="shared" si="6"/>
        <v>37200</v>
      </c>
      <c r="I31" s="6">
        <f t="shared" si="7"/>
        <v>37200</v>
      </c>
    </row>
    <row r="32" spans="1:9" x14ac:dyDescent="0.2">
      <c r="A32" s="7">
        <v>11</v>
      </c>
      <c r="B32" s="2" t="s">
        <v>23</v>
      </c>
      <c r="E32" s="5">
        <f>145</f>
        <v>145</v>
      </c>
      <c r="F32" s="5" t="str">
        <f t="shared" si="11"/>
        <v/>
      </c>
      <c r="G32" s="8">
        <f t="shared" si="1"/>
        <v>11</v>
      </c>
      <c r="H32" s="6">
        <f t="shared" si="6"/>
        <v>145</v>
      </c>
      <c r="I32" s="6" t="str">
        <f t="shared" si="7"/>
        <v>-</v>
      </c>
    </row>
    <row r="33" spans="1:9" x14ac:dyDescent="0.2">
      <c r="B33" s="2" t="s">
        <v>19</v>
      </c>
      <c r="D33" s="3" t="s">
        <v>24</v>
      </c>
      <c r="E33" s="5">
        <f>30000*1.23*0.08</f>
        <v>2952</v>
      </c>
      <c r="F33" s="5" t="str">
        <f t="shared" si="11"/>
        <v/>
      </c>
      <c r="G33" s="8">
        <f t="shared" si="1"/>
        <v>11</v>
      </c>
      <c r="H33" s="6">
        <f t="shared" si="6"/>
        <v>2952</v>
      </c>
      <c r="I33" s="6" t="str">
        <f t="shared" si="7"/>
        <v>-</v>
      </c>
    </row>
    <row r="34" spans="1:9" x14ac:dyDescent="0.2">
      <c r="C34" s="2" t="s">
        <v>4</v>
      </c>
      <c r="E34" s="5"/>
      <c r="F34" s="8" t="str">
        <f t="shared" ref="F34" si="13">IF(
IF(ISBLANK(G34),"",
IF(G34&lt;&gt;G35,
IF(G34&lt;&gt;G33,"",
IF(G34&lt;&gt;G32,IF(SUM(E33:E33)&gt;SUM(F33:F33),SUM(E33:E33)-SUM(F33:F33),SUM(F33:F33)-SUM(E33:E33)),
IF(G34&lt;&gt;G31,IF(SUM(E32:E33)&gt;SUM(F32:F33),SUM(E32:E33)-SUM(F32:F33),SUM(F32:F33)-SUM(E32:E33)),
IF(G34&lt;&gt;G30,IF(SUM(E31:E33)&gt;SUM(F31:F33),SUM(E31:E33)-SUM(E31:E33),SUM(F31:F33)-SUM(E31:E33)),
IF(G34&lt;&gt;G29,IF(SUM(E30:E33)&gt;SUM(F30:F33),SUM(E30:E33)-SUM(E30:E33),SUM(F30:F33)-SUM(E30:E33)),
IF(G34&lt;&gt;G28,IF(SUM(E29:E33)&gt;SUM(F29:F33),SUM(E29:E33)-SUM(E29:E33),SUM(E29:F33)-SUM(E29:E33)),
"après 6ème ligne")))))),""))&lt;0,IF(ISBLANK(G34),"",
IF(G34&lt;&gt;G35,
IF(G34&lt;&gt;G33,"",
IF(G34&lt;&gt;G32,IF(SUM(E33:E33)&gt;SUM(F33:F33),SUM(E33:E33)-SUM(F33:F33),SUM(F33:F33)-SUM(E33:E33)),
IF(G34&lt;&gt;G31,IF(SUM(E32:E33)&gt;SUM(F32:F33),SUM(E32:E33)-SUM(F32:F33),SUM(F32:F33)-SUM(E32:E33)),
IF(G34&lt;&gt;G30,IF(SUM(E31:E33)&gt;SUM(F31:F33),SUM(E31:E33)-SUM(E31:E33),SUM(F31:F33)-SUM(E31:E33)),
IF(G34&lt;&gt;G29,IF(SUM(E30:E33)&gt;SUM(F30:F33),SUM(E30:E33)-SUM(E30:E33),SUM(F30:F33)-SUM(E30:E33)),
IF(G34&lt;&gt;G28,IF(SUM(E29:E33)&gt;SUM(F29:F33),SUM(E29:E33)-SUM(E29:E33),SUM(E29:F33)-SUM(E29:E33)),
"après 6ème ligne")))))),"")),"")</f>
        <v/>
      </c>
      <c r="G34" s="8">
        <f t="shared" si="1"/>
        <v>11</v>
      </c>
      <c r="H34" s="6" t="str">
        <f t="shared" si="6"/>
        <v>-</v>
      </c>
      <c r="I34" s="6" t="str">
        <f t="shared" si="7"/>
        <v>calcul</v>
      </c>
    </row>
    <row r="35" spans="1:9" x14ac:dyDescent="0.2">
      <c r="A35" s="7">
        <v>12</v>
      </c>
      <c r="B35" s="2" t="s">
        <v>6</v>
      </c>
      <c r="C35" s="2" t="s">
        <v>25</v>
      </c>
      <c r="D35" s="3" t="s">
        <v>26</v>
      </c>
      <c r="E35" s="5">
        <f>(5607.35-1401.85)*0.05*58/360</f>
        <v>33.877638888888889</v>
      </c>
      <c r="F35" s="5">
        <v>33.880000000000003</v>
      </c>
      <c r="G35" s="8">
        <f t="shared" si="1"/>
        <v>12</v>
      </c>
      <c r="H35" s="6">
        <f t="shared" si="6"/>
        <v>33.9</v>
      </c>
      <c r="I35" s="6">
        <f t="shared" si="7"/>
        <v>33.9</v>
      </c>
    </row>
    <row r="36" spans="1:9" x14ac:dyDescent="0.2">
      <c r="A36" s="7">
        <v>13</v>
      </c>
      <c r="B36" s="2" t="s">
        <v>4</v>
      </c>
      <c r="C36" s="2" t="s">
        <v>5</v>
      </c>
      <c r="D36" s="3" t="s">
        <v>27</v>
      </c>
      <c r="E36" s="5">
        <f>4500*1.22</f>
        <v>5490</v>
      </c>
      <c r="F36" s="5">
        <f>4500*1.22</f>
        <v>5490</v>
      </c>
      <c r="G36" s="8">
        <f t="shared" si="1"/>
        <v>13</v>
      </c>
      <c r="H36" s="6">
        <f t="shared" si="6"/>
        <v>5490</v>
      </c>
      <c r="I36" s="6">
        <f t="shared" si="7"/>
        <v>5490</v>
      </c>
    </row>
    <row r="37" spans="1:9" x14ac:dyDescent="0.2">
      <c r="A37" s="7">
        <v>14</v>
      </c>
      <c r="B37" s="2" t="s">
        <v>4</v>
      </c>
      <c r="E37" s="5">
        <f>F15</f>
        <v>5724</v>
      </c>
      <c r="F37" s="5" t="str">
        <f t="shared" ref="F37" si="14">IF(G37=G38,"",
IF(ISTEXT(B37),"",
IF(G30=G37,SUM(E30:E36)-SUM(F30:F36),
IF(G31=G37,SUM(E31:E36)-SUM(F31:F36),
IF(G32=G37,SUM(E32:E36)-SUM(F32:F36),
IF(G33=G37,SUM(E33:E36)-SUM(F33:F36),
IF(G34=G37,SUM(E34:E36)-SUM(F34:F36),
IF(G35=G37,SUM(E35:E37)-SUM(F35:F37),
IF(G36=G37,SUM(E36:E37)-SUM(F36:F37),
"")))))))))</f>
        <v/>
      </c>
      <c r="G37" s="8">
        <f t="shared" si="1"/>
        <v>14</v>
      </c>
      <c r="H37" s="6">
        <f t="shared" ref="H37:H42" si="15">IF(B37="","-",IF(ISNUMBER(E37),MROUND(E37,0.05),"calcul"))</f>
        <v>5724</v>
      </c>
      <c r="I37" s="6" t="str">
        <f t="shared" ref="I37:I42" si="16">IF(C37="","-",IF(ISNUMBER(F37),MROUND(F37,0.05),"calcul"))</f>
        <v>-</v>
      </c>
    </row>
    <row r="38" spans="1:9" x14ac:dyDescent="0.2">
      <c r="C38" s="2" t="s">
        <v>28</v>
      </c>
      <c r="E38" s="5" t="str">
        <f t="shared" ref="E38:E40" si="17">IF(G38=G39,"",
IF(ISTEXT(C38),"",
IF(G31=G38,SUM(F31:F37)-SUM(E31:E37),
IF(G32=G38,SUM(F31:F37)-SUM(E31:E37),
IF(G33=G38,SUM(F33:F37)-SUM(E33:E37),
IF(G34=G38,SUM(F34:F37)-SUM(E34:E37),
IF(G35=G38,SUM(F35:F37)-SUM(E35:E37),
IF(G36=G38,SUM(F36:F38)-SUM(E36:E38),
IF(G37=G38,SUM(F37:F38)-SUM(E37:E38),
"calcul")))))))))</f>
        <v/>
      </c>
      <c r="F38" s="5">
        <f>E37/1.08*0.03</f>
        <v>159</v>
      </c>
      <c r="G38" s="8">
        <f t="shared" si="1"/>
        <v>14</v>
      </c>
      <c r="H38" s="6" t="str">
        <f t="shared" si="15"/>
        <v>-</v>
      </c>
      <c r="I38" s="6">
        <f t="shared" si="16"/>
        <v>159</v>
      </c>
    </row>
    <row r="39" spans="1:9" x14ac:dyDescent="0.2">
      <c r="C39" s="2" t="s">
        <v>29</v>
      </c>
      <c r="E39" s="5" t="str">
        <f t="shared" si="17"/>
        <v/>
      </c>
      <c r="F39" s="5">
        <f>F38*0.08</f>
        <v>12.72</v>
      </c>
      <c r="G39" s="8">
        <f t="shared" si="1"/>
        <v>14</v>
      </c>
      <c r="H39" s="6" t="str">
        <f t="shared" si="15"/>
        <v>-</v>
      </c>
      <c r="I39" s="6">
        <f t="shared" si="16"/>
        <v>12.700000000000001</v>
      </c>
    </row>
    <row r="40" spans="1:9" x14ac:dyDescent="0.2">
      <c r="C40" s="2" t="s">
        <v>5</v>
      </c>
      <c r="E40" s="5" t="str">
        <f t="shared" si="17"/>
        <v/>
      </c>
      <c r="F40" s="5">
        <f>IF(G40=G41,"",
IF(ISTEXT(B40),"",
IF(G33=G40,SUM(E33:E39)-SUM(F33:F39),
IF(G34=G40,SUM(E34:E39)-SUM(F34:F39),
IF(G35=G40,SUM(E35:E39)-SUM(F35:F39),
IF(G36=G40,SUM(E36:E39)-SUM(F36:F39),
IF(G37=G40,SUM(E37:E39)-SUM(F37:F39),
IF(G38=G40,SUM(E38:E40)-SUM(F38:F40),
IF(G39=G40,SUM(E39:E40)-SUM(F39:F40),
"")))))))))</f>
        <v>5552.28</v>
      </c>
      <c r="G40" s="8">
        <f t="shared" ref="G40:G42" si="18">IF(ISNUMBER(A40),A40,IF(ISNUMBER(A39),A39,IF(ISNUMBER(A38),A38,IF(ISNUMBER(A37),A37,IF(ISNUMBER(A36),A36,"")))))</f>
        <v>14</v>
      </c>
      <c r="H40" s="6" t="str">
        <f t="shared" si="15"/>
        <v>-</v>
      </c>
      <c r="I40" s="6">
        <f t="shared" si="16"/>
        <v>5552.3</v>
      </c>
    </row>
    <row r="41" spans="1:9" x14ac:dyDescent="0.2">
      <c r="A41" s="7">
        <v>15</v>
      </c>
      <c r="B41" s="2" t="s">
        <v>5</v>
      </c>
      <c r="C41" s="2" t="s">
        <v>6</v>
      </c>
      <c r="D41" s="3" t="s">
        <v>30</v>
      </c>
      <c r="E41" s="5">
        <f>E23-F24+F35</f>
        <v>4239.3999999999996</v>
      </c>
      <c r="F41" s="5">
        <f>E41</f>
        <v>4239.3999999999996</v>
      </c>
      <c r="G41" s="8">
        <f t="shared" si="18"/>
        <v>15</v>
      </c>
      <c r="H41" s="6">
        <f t="shared" si="15"/>
        <v>4239.4000000000005</v>
      </c>
      <c r="I41" s="6">
        <f t="shared" si="16"/>
        <v>4239.4000000000005</v>
      </c>
    </row>
    <row r="42" spans="1:9" x14ac:dyDescent="0.2">
      <c r="B42" s="2" t="s">
        <v>31</v>
      </c>
      <c r="C42" s="2" t="s">
        <v>32</v>
      </c>
      <c r="E42" s="5">
        <v>7</v>
      </c>
      <c r="F42" s="5">
        <v>7</v>
      </c>
      <c r="G42" s="8">
        <f t="shared" si="18"/>
        <v>15</v>
      </c>
      <c r="H42" s="6">
        <f t="shared" si="15"/>
        <v>7</v>
      </c>
      <c r="I42" s="6">
        <f t="shared" si="16"/>
        <v>7</v>
      </c>
    </row>
    <row r="43" spans="1:9" s="15" customFormat="1" ht="263.10000000000002" customHeight="1" x14ac:dyDescent="0.2">
      <c r="A43" s="19" t="s">
        <v>91</v>
      </c>
      <c r="D43" s="16"/>
      <c r="E43" s="17"/>
      <c r="F43" s="17"/>
      <c r="G43" s="17"/>
      <c r="H43" s="18"/>
      <c r="I43" s="18"/>
    </row>
    <row r="44" spans="1:9" s="15" customFormat="1" x14ac:dyDescent="0.2">
      <c r="A44" s="14" t="s">
        <v>33</v>
      </c>
      <c r="D44" s="16"/>
      <c r="E44" s="17"/>
      <c r="F44" s="17"/>
      <c r="G44" s="17"/>
      <c r="H44" s="18"/>
      <c r="I44" s="18"/>
    </row>
    <row r="45" spans="1:9" x14ac:dyDescent="0.2">
      <c r="A45" s="7" t="s">
        <v>0</v>
      </c>
      <c r="B45" s="2" t="s">
        <v>1</v>
      </c>
      <c r="C45" s="2" t="s">
        <v>2</v>
      </c>
      <c r="D45" s="3" t="s">
        <v>3</v>
      </c>
      <c r="E45" s="8" t="s">
        <v>1</v>
      </c>
      <c r="F45" s="8" t="s">
        <v>2</v>
      </c>
      <c r="H45" s="6" t="s">
        <v>1</v>
      </c>
      <c r="I45" s="6" t="s">
        <v>2</v>
      </c>
    </row>
    <row r="46" spans="1:9" x14ac:dyDescent="0.2">
      <c r="A46" s="7">
        <v>1</v>
      </c>
      <c r="C46" s="2" t="s">
        <v>34</v>
      </c>
      <c r="D46" s="3" t="s">
        <v>35</v>
      </c>
      <c r="F46" s="8">
        <f>10000*100/75</f>
        <v>13333.333333333334</v>
      </c>
      <c r="G46" s="8">
        <f>IF(ISNUMBER(A46),A46,IF(ISNUMBER(A45),A45,IF(ISNUMBER(A44),A44,IF(ISNUMBER(A43),A43,IF(ISNUMBER(A42),A42,IF(ISNUMBER(A41),A41,IF(ISNUMBER(A40),A40,IF(ISNUMBER(A39),A39,IF(ISNUMBER(A38),A38,IF(ISNUMBER(A37),A37,IF(ISNUMBER(A36),A36,"")))))))))))</f>
        <v>1</v>
      </c>
      <c r="H46" s="6" t="str">
        <f>IF(B46="","-",IF(ISNUMBER(E46),MROUND(E46,0.05),"calcul"))</f>
        <v>-</v>
      </c>
      <c r="I46" s="6">
        <f t="shared" ref="I46" si="19">IF(C46="","-",IF(ISNUMBER(F46),MROUND(F46,0.05),"calcul"))</f>
        <v>13333.35</v>
      </c>
    </row>
    <row r="47" spans="1:9" x14ac:dyDescent="0.2">
      <c r="C47" s="2" t="s">
        <v>7</v>
      </c>
      <c r="D47" s="3" t="s">
        <v>36</v>
      </c>
      <c r="F47" s="8">
        <f>F46*0.08</f>
        <v>1066.6666666666667</v>
      </c>
      <c r="G47" s="8">
        <f t="shared" ref="G47:G77" si="20">IF(ISNUMBER(A47),A47,IF(ISNUMBER(A46),A46,IF(ISNUMBER(A45),A45,IF(ISNUMBER(A44),A44,IF(ISNUMBER(A43),A43,IF(ISNUMBER(A42),A42,IF(ISNUMBER(A41),A41,IF(ISNUMBER(A40),A40,IF(ISNUMBER(A39),A39,IF(ISNUMBER(A38),A38,IF(ISNUMBER(A37),A37,"")))))))))))</f>
        <v>1</v>
      </c>
      <c r="H47" s="6" t="str">
        <f t="shared" ref="H47:H67" si="21">IF(B47="","-",IF(ISNUMBER(E47),MROUND(E47,0.05),"calcul"))</f>
        <v>-</v>
      </c>
      <c r="I47" s="6">
        <f t="shared" ref="I47:I67" si="22">IF(C47="","-",IF(ISNUMBER(F47),MROUND(F47,0.05),"calcul"))</f>
        <v>1066.6500000000001</v>
      </c>
    </row>
    <row r="48" spans="1:9" x14ac:dyDescent="0.2">
      <c r="B48" s="2" t="s">
        <v>6</v>
      </c>
      <c r="E48" s="8">
        <f>SUM(F46:F47)</f>
        <v>14400</v>
      </c>
      <c r="G48" s="8">
        <f t="shared" si="20"/>
        <v>1</v>
      </c>
      <c r="H48" s="6">
        <f t="shared" si="21"/>
        <v>14400</v>
      </c>
      <c r="I48" s="6" t="str">
        <f t="shared" si="22"/>
        <v>-</v>
      </c>
    </row>
    <row r="49" spans="1:9" x14ac:dyDescent="0.2">
      <c r="A49" s="7">
        <v>2</v>
      </c>
      <c r="C49" s="2" t="s">
        <v>37</v>
      </c>
      <c r="F49" s="8">
        <v>5200</v>
      </c>
      <c r="G49" s="8">
        <f t="shared" si="20"/>
        <v>2</v>
      </c>
      <c r="H49" s="6" t="str">
        <f t="shared" si="21"/>
        <v>-</v>
      </c>
      <c r="I49" s="6">
        <f t="shared" si="22"/>
        <v>5200</v>
      </c>
    </row>
    <row r="50" spans="1:9" x14ac:dyDescent="0.2">
      <c r="C50" s="2" t="s">
        <v>38</v>
      </c>
      <c r="F50" s="8">
        <f>200/1.08</f>
        <v>185.18518518518516</v>
      </c>
      <c r="G50" s="8">
        <f t="shared" si="20"/>
        <v>2</v>
      </c>
      <c r="H50" s="6" t="str">
        <f t="shared" si="21"/>
        <v>-</v>
      </c>
      <c r="I50" s="6">
        <f t="shared" si="22"/>
        <v>185.20000000000002</v>
      </c>
    </row>
    <row r="51" spans="1:9" x14ac:dyDescent="0.2">
      <c r="B51" s="2" t="s">
        <v>7</v>
      </c>
      <c r="E51" s="8">
        <f>5200/1.08*0.08</f>
        <v>385.18518518518522</v>
      </c>
      <c r="G51" s="8">
        <f t="shared" si="20"/>
        <v>2</v>
      </c>
      <c r="H51" s="6">
        <f t="shared" si="21"/>
        <v>385.20000000000005</v>
      </c>
      <c r="I51" s="6" t="str">
        <f t="shared" si="22"/>
        <v>-</v>
      </c>
    </row>
    <row r="52" spans="1:9" x14ac:dyDescent="0.2">
      <c r="B52" s="2" t="s">
        <v>39</v>
      </c>
      <c r="E52" s="8">
        <f>F49+F50-E51</f>
        <v>5000</v>
      </c>
      <c r="G52" s="8">
        <f t="shared" si="20"/>
        <v>2</v>
      </c>
      <c r="H52" s="6">
        <f>IF(B52="","-",IF(ISNUMBER(E52),MROUND(E52,0.05),"calcul"))</f>
        <v>5000</v>
      </c>
      <c r="I52" s="6" t="str">
        <f t="shared" si="22"/>
        <v>-</v>
      </c>
    </row>
    <row r="53" spans="1:9" x14ac:dyDescent="0.2">
      <c r="A53" s="7">
        <v>3</v>
      </c>
      <c r="B53" s="2" t="s">
        <v>40</v>
      </c>
      <c r="C53" s="2" t="s">
        <v>41</v>
      </c>
      <c r="D53" s="3" t="s">
        <v>42</v>
      </c>
      <c r="E53" s="8">
        <f>45000*1.24</f>
        <v>55800</v>
      </c>
      <c r="F53" s="8">
        <f>45000*1.24</f>
        <v>55800</v>
      </c>
      <c r="G53" s="8">
        <f t="shared" si="20"/>
        <v>3</v>
      </c>
      <c r="H53" s="6">
        <f t="shared" si="21"/>
        <v>55800</v>
      </c>
      <c r="I53" s="6">
        <f t="shared" si="22"/>
        <v>55800</v>
      </c>
    </row>
    <row r="54" spans="1:9" x14ac:dyDescent="0.2">
      <c r="B54" s="2" t="s">
        <v>23</v>
      </c>
      <c r="E54" s="8">
        <v>900</v>
      </c>
      <c r="G54" s="8">
        <f t="shared" si="20"/>
        <v>3</v>
      </c>
      <c r="H54" s="6">
        <f t="shared" si="21"/>
        <v>900</v>
      </c>
      <c r="I54" s="6" t="str">
        <f t="shared" si="22"/>
        <v>-</v>
      </c>
    </row>
    <row r="55" spans="1:9" x14ac:dyDescent="0.2">
      <c r="B55" s="2" t="s">
        <v>19</v>
      </c>
      <c r="E55" s="8">
        <f>E54*0.08</f>
        <v>72</v>
      </c>
      <c r="G55" s="8">
        <f t="shared" si="20"/>
        <v>3</v>
      </c>
      <c r="H55" s="6">
        <f t="shared" si="21"/>
        <v>72</v>
      </c>
      <c r="I55" s="6" t="str">
        <f t="shared" si="22"/>
        <v>-</v>
      </c>
    </row>
    <row r="56" spans="1:9" x14ac:dyDescent="0.2">
      <c r="C56" s="2" t="s">
        <v>37</v>
      </c>
      <c r="F56" s="8">
        <f>E54+E55</f>
        <v>972</v>
      </c>
      <c r="G56" s="8">
        <f t="shared" si="20"/>
        <v>3</v>
      </c>
      <c r="H56" s="6" t="str">
        <f t="shared" si="21"/>
        <v>-</v>
      </c>
      <c r="I56" s="6">
        <f t="shared" si="22"/>
        <v>972</v>
      </c>
    </row>
    <row r="57" spans="1:9" x14ac:dyDescent="0.2">
      <c r="A57" s="7">
        <v>4</v>
      </c>
      <c r="C57" s="2" t="s">
        <v>34</v>
      </c>
      <c r="D57" s="3" t="s">
        <v>43</v>
      </c>
      <c r="F57" s="8">
        <v>112000</v>
      </c>
      <c r="G57" s="8">
        <f t="shared" si="20"/>
        <v>4</v>
      </c>
      <c r="H57" s="6" t="str">
        <f t="shared" si="21"/>
        <v>-</v>
      </c>
      <c r="I57" s="6">
        <f t="shared" si="22"/>
        <v>112000</v>
      </c>
    </row>
    <row r="58" spans="1:9" x14ac:dyDescent="0.2">
      <c r="C58" s="2" t="s">
        <v>7</v>
      </c>
      <c r="F58" s="8">
        <f>F57*0.08</f>
        <v>8960</v>
      </c>
      <c r="G58" s="8">
        <f t="shared" si="20"/>
        <v>4</v>
      </c>
      <c r="H58" s="6" t="str">
        <f t="shared" si="21"/>
        <v>-</v>
      </c>
      <c r="I58" s="6">
        <f t="shared" si="22"/>
        <v>8960</v>
      </c>
    </row>
    <row r="59" spans="1:9" x14ac:dyDescent="0.2">
      <c r="B59" s="2" t="s">
        <v>6</v>
      </c>
      <c r="E59" s="8">
        <f>F58+F57</f>
        <v>120960</v>
      </c>
      <c r="G59" s="8">
        <f t="shared" si="20"/>
        <v>4</v>
      </c>
      <c r="H59" s="6">
        <f t="shared" si="21"/>
        <v>120960</v>
      </c>
      <c r="I59" s="6" t="str">
        <f t="shared" si="22"/>
        <v>-</v>
      </c>
    </row>
    <row r="60" spans="1:9" x14ac:dyDescent="0.2">
      <c r="A60" s="7">
        <v>5</v>
      </c>
      <c r="C60" s="2" t="s">
        <v>34</v>
      </c>
      <c r="F60" s="8">
        <f>84000/1.08</f>
        <v>77777.777777777766</v>
      </c>
      <c r="G60" s="8">
        <f t="shared" si="20"/>
        <v>5</v>
      </c>
      <c r="H60" s="6" t="str">
        <f t="shared" si="21"/>
        <v>-</v>
      </c>
      <c r="I60" s="6">
        <f t="shared" si="22"/>
        <v>77777.8</v>
      </c>
    </row>
    <row r="61" spans="1:9" x14ac:dyDescent="0.2">
      <c r="B61" s="2" t="s">
        <v>38</v>
      </c>
      <c r="E61" s="8">
        <f>F60*0.1</f>
        <v>7777.7777777777774</v>
      </c>
      <c r="G61" s="8">
        <f t="shared" si="20"/>
        <v>5</v>
      </c>
      <c r="H61" s="6">
        <f t="shared" si="21"/>
        <v>7777.8</v>
      </c>
      <c r="I61" s="6" t="str">
        <f t="shared" si="22"/>
        <v>-</v>
      </c>
    </row>
    <row r="62" spans="1:9" x14ac:dyDescent="0.2">
      <c r="C62" s="2" t="s">
        <v>44</v>
      </c>
      <c r="F62" s="8">
        <f>(F60-E61)*0.08</f>
        <v>5599.9999999999991</v>
      </c>
      <c r="G62" s="8">
        <f t="shared" si="20"/>
        <v>5</v>
      </c>
      <c r="H62" s="6" t="str">
        <f t="shared" si="21"/>
        <v>-</v>
      </c>
      <c r="I62" s="6">
        <f t="shared" si="22"/>
        <v>5600</v>
      </c>
    </row>
    <row r="63" spans="1:9" x14ac:dyDescent="0.2">
      <c r="B63" s="2" t="s">
        <v>6</v>
      </c>
      <c r="E63" s="8">
        <f>F60+F62-E61</f>
        <v>75599.999999999985</v>
      </c>
      <c r="G63" s="8">
        <f t="shared" si="20"/>
        <v>5</v>
      </c>
      <c r="H63" s="6">
        <f t="shared" si="21"/>
        <v>75600</v>
      </c>
      <c r="I63" s="6" t="str">
        <f t="shared" si="22"/>
        <v>-</v>
      </c>
    </row>
    <row r="64" spans="1:9" x14ac:dyDescent="0.2">
      <c r="B64" s="2" t="s">
        <v>45</v>
      </c>
      <c r="E64" s="8">
        <v>4000</v>
      </c>
      <c r="G64" s="8">
        <f t="shared" si="20"/>
        <v>5</v>
      </c>
      <c r="H64" s="6">
        <f t="shared" si="21"/>
        <v>4000</v>
      </c>
      <c r="I64" s="6" t="str">
        <f t="shared" si="22"/>
        <v>-</v>
      </c>
    </row>
    <row r="65" spans="1:10" x14ac:dyDescent="0.2">
      <c r="B65" s="2" t="s">
        <v>19</v>
      </c>
      <c r="E65" s="8">
        <f>E64*0.08</f>
        <v>320</v>
      </c>
      <c r="G65" s="8">
        <f t="shared" si="20"/>
        <v>5</v>
      </c>
      <c r="H65" s="6">
        <f t="shared" si="21"/>
        <v>320</v>
      </c>
      <c r="I65" s="6" t="str">
        <f t="shared" si="22"/>
        <v>-</v>
      </c>
    </row>
    <row r="66" spans="1:10" x14ac:dyDescent="0.2">
      <c r="C66" s="2" t="s">
        <v>4</v>
      </c>
      <c r="F66" s="8">
        <f>E64+E65</f>
        <v>4320</v>
      </c>
      <c r="G66" s="8">
        <f t="shared" si="20"/>
        <v>5</v>
      </c>
      <c r="H66" s="6" t="str">
        <f t="shared" si="21"/>
        <v>-</v>
      </c>
      <c r="I66" s="6">
        <f t="shared" si="22"/>
        <v>4320</v>
      </c>
    </row>
    <row r="67" spans="1:10" x14ac:dyDescent="0.2">
      <c r="A67" s="7">
        <v>6</v>
      </c>
      <c r="B67" s="2" t="s">
        <v>23</v>
      </c>
      <c r="E67" s="8">
        <v>450</v>
      </c>
      <c r="G67" s="8">
        <f t="shared" si="20"/>
        <v>6</v>
      </c>
      <c r="H67" s="6">
        <f t="shared" si="21"/>
        <v>450</v>
      </c>
      <c r="I67" s="6" t="str">
        <f t="shared" si="22"/>
        <v>-</v>
      </c>
    </row>
    <row r="68" spans="1:10" x14ac:dyDescent="0.2">
      <c r="B68" s="2" t="s">
        <v>19</v>
      </c>
      <c r="D68" s="3" t="s">
        <v>53</v>
      </c>
      <c r="E68" s="8">
        <f>45000*1.22*0.08</f>
        <v>4392</v>
      </c>
      <c r="G68" s="8">
        <f t="shared" si="20"/>
        <v>6</v>
      </c>
      <c r="H68" s="6">
        <f t="shared" ref="H68:H77" si="23">IF(B68="","-",IF(ISNUMBER(E68),MROUND(E68,0.05),"calcul"))</f>
        <v>4392</v>
      </c>
      <c r="I68" s="6" t="str">
        <f t="shared" ref="I68:I77" si="24">IF(C68="","-",IF(ISNUMBER(F68),MROUND(F68,0.05),"calcul"))</f>
        <v>-</v>
      </c>
    </row>
    <row r="69" spans="1:10" x14ac:dyDescent="0.2">
      <c r="C69" s="2" t="s">
        <v>4</v>
      </c>
      <c r="F69" s="8">
        <f>E67+E68</f>
        <v>4842</v>
      </c>
      <c r="G69" s="8">
        <f t="shared" si="20"/>
        <v>6</v>
      </c>
      <c r="H69" s="6" t="str">
        <f t="shared" si="23"/>
        <v>-</v>
      </c>
      <c r="I69" s="6">
        <f t="shared" si="24"/>
        <v>4842</v>
      </c>
    </row>
    <row r="70" spans="1:10" x14ac:dyDescent="0.2">
      <c r="A70" s="7">
        <v>7</v>
      </c>
      <c r="C70" s="2" t="s">
        <v>6</v>
      </c>
      <c r="F70" s="8">
        <f>E59</f>
        <v>120960</v>
      </c>
      <c r="G70" s="8">
        <f t="shared" si="20"/>
        <v>7</v>
      </c>
      <c r="H70" s="6" t="str">
        <f t="shared" si="23"/>
        <v>-</v>
      </c>
      <c r="I70" s="6">
        <f t="shared" si="24"/>
        <v>120960</v>
      </c>
    </row>
    <row r="71" spans="1:10" x14ac:dyDescent="0.2">
      <c r="B71" s="2" t="s">
        <v>32</v>
      </c>
      <c r="D71" s="3" t="s">
        <v>46</v>
      </c>
      <c r="E71" s="8">
        <f>F70*0.9</f>
        <v>108864</v>
      </c>
      <c r="G71" s="8">
        <f t="shared" si="20"/>
        <v>7</v>
      </c>
      <c r="H71" s="6">
        <f t="shared" si="23"/>
        <v>108864</v>
      </c>
      <c r="I71" s="6" t="str">
        <f t="shared" si="24"/>
        <v>-</v>
      </c>
    </row>
    <row r="72" spans="1:10" x14ac:dyDescent="0.2">
      <c r="B72" s="2" t="s">
        <v>47</v>
      </c>
      <c r="E72" s="8">
        <f>F70*0.1/1.08*0.08</f>
        <v>896</v>
      </c>
      <c r="G72" s="8">
        <f t="shared" si="20"/>
        <v>7</v>
      </c>
      <c r="H72" s="6">
        <f t="shared" si="23"/>
        <v>896</v>
      </c>
      <c r="I72" s="6" t="str">
        <f t="shared" si="24"/>
        <v>-</v>
      </c>
    </row>
    <row r="73" spans="1:10" x14ac:dyDescent="0.2">
      <c r="B73" s="2" t="s">
        <v>20</v>
      </c>
      <c r="E73" s="8">
        <f>F70*0.1/1.08</f>
        <v>11200</v>
      </c>
      <c r="G73" s="8">
        <f t="shared" si="20"/>
        <v>7</v>
      </c>
      <c r="H73" s="6">
        <f t="shared" si="23"/>
        <v>11200</v>
      </c>
      <c r="I73" s="6" t="str">
        <f t="shared" si="24"/>
        <v>-</v>
      </c>
    </row>
    <row r="74" spans="1:10" x14ac:dyDescent="0.2">
      <c r="A74" s="7">
        <v>8</v>
      </c>
      <c r="B74" s="2" t="s">
        <v>4</v>
      </c>
      <c r="D74" s="3" t="s">
        <v>48</v>
      </c>
      <c r="E74" s="8">
        <f>F53</f>
        <v>55800</v>
      </c>
      <c r="G74" s="8">
        <f t="shared" si="20"/>
        <v>8</v>
      </c>
      <c r="H74" s="6">
        <f t="shared" si="23"/>
        <v>55800</v>
      </c>
      <c r="I74" s="6" t="str">
        <f t="shared" si="24"/>
        <v>-</v>
      </c>
    </row>
    <row r="75" spans="1:10" x14ac:dyDescent="0.2">
      <c r="C75" s="2" t="s">
        <v>28</v>
      </c>
      <c r="F75" s="8">
        <f>E74*0.04</f>
        <v>2232</v>
      </c>
      <c r="G75" s="8">
        <f t="shared" si="20"/>
        <v>8</v>
      </c>
      <c r="H75" s="6" t="str">
        <f t="shared" si="23"/>
        <v>-</v>
      </c>
      <c r="I75" s="6">
        <f t="shared" si="24"/>
        <v>2232</v>
      </c>
    </row>
    <row r="76" spans="1:10" x14ac:dyDescent="0.2">
      <c r="C76" s="2" t="s">
        <v>5</v>
      </c>
      <c r="D76" s="3" t="s">
        <v>49</v>
      </c>
      <c r="F76" s="8">
        <f>E74*0.96</f>
        <v>53568</v>
      </c>
      <c r="G76" s="8">
        <f t="shared" si="20"/>
        <v>8</v>
      </c>
      <c r="H76" s="6" t="str">
        <f t="shared" si="23"/>
        <v>-</v>
      </c>
      <c r="I76" s="6">
        <f t="shared" si="24"/>
        <v>53568</v>
      </c>
    </row>
    <row r="77" spans="1:10" x14ac:dyDescent="0.2">
      <c r="A77" s="7">
        <v>9</v>
      </c>
      <c r="B77" s="2" t="s">
        <v>50</v>
      </c>
      <c r="C77" s="2" t="s">
        <v>51</v>
      </c>
      <c r="D77" s="3" t="s">
        <v>52</v>
      </c>
      <c r="E77" s="8">
        <f>(142-134.6)*1000</f>
        <v>7400.0000000000055</v>
      </c>
      <c r="F77" s="8">
        <f>(142-134.6)*1000</f>
        <v>7400.0000000000055</v>
      </c>
      <c r="G77" s="8">
        <f t="shared" si="20"/>
        <v>9</v>
      </c>
      <c r="H77" s="6">
        <f t="shared" si="23"/>
        <v>7400</v>
      </c>
      <c r="I77" s="6">
        <f t="shared" si="24"/>
        <v>7400</v>
      </c>
    </row>
    <row r="78" spans="1:10" s="20" customFormat="1" ht="176.1" customHeight="1" x14ac:dyDescent="0.2">
      <c r="A78" s="19" t="s">
        <v>54</v>
      </c>
      <c r="B78" s="10"/>
      <c r="C78" s="10"/>
      <c r="D78" s="11"/>
      <c r="E78" s="12"/>
      <c r="F78" s="12"/>
      <c r="G78" s="12"/>
      <c r="H78" s="13"/>
      <c r="I78" s="13"/>
    </row>
    <row r="79" spans="1:10" x14ac:dyDescent="0.2">
      <c r="A79" s="22" t="s">
        <v>55</v>
      </c>
      <c r="B79" s="23"/>
      <c r="C79" s="23"/>
      <c r="D79" s="24"/>
      <c r="E79" s="25" t="str">
        <f t="shared" ref="E79" si="25">IF(
IF(ISBLANK(G79),"",
IF(G79&lt;&gt;G80,
IF(G79&lt;&gt;G78,"",
IF(G79&lt;&gt;G77,IF(SUM(E78:E78)&gt;SUM(F78:F78),SUM(E78:E78)-SUM(F78:F78),SUM(F78:F78)-SUM(E78:E78)),
IF(G79&lt;&gt;G76,IF(SUM(E77:E78)&gt;SUM(F77:F78),SUM(E77:E78)-SUM(F77:F78),SUM(F77:F78)-SUM(E77:E78)),
IF(G79&lt;&gt;G75,IF(SUM(E76:E78)&gt;SUM(F76:F78),SUM(E76:E78)-SUM(E76:E78),SUM(F76:F78)-SUM(E76:E78)),
IF(G79&lt;&gt;G74,IF(SUM(E75:E78)&gt;SUM(F75:F78),SUM(E75:E78)-SUM(E75:E78),SUM(F75:F78)-SUM(E75:E78)),
IF(G79&lt;&gt;G73,IF(SUM(E74:E78)&gt;SUM(F74:F78),SUM(E74:E78)-SUM(E74:E78),SUM(E74:F78)-SUM(E74:E78)),
"après 6ème ligne")))))),""))&gt;0,IF(ISBLANK(G79),"",
IF(G79&lt;&gt;G80,
IF(G79&lt;&gt;G78,"",
IF(G79&lt;&gt;G77,IF(SUM(E78:E78)&gt;SUM(F78:F78),SUM(E78:E78)-SUM(F78:F78),SUM(F78:F78)-SUM(E78:E78)),
IF(G79&lt;&gt;G76,IF(SUM(E77:E78)&gt;SUM(F77:F78),SUM(E77:E78)-SUM(F77:F78),SUM(F77:F78)-SUM(E77:E78)),
IF(G79&lt;&gt;G75,IF(SUM(E76:E78)&gt;SUM(F76:F78),SUM(E76:E78)-SUM(E76:E78),SUM(F76:F78)-SUM(E76:E78)),
IF(G79&lt;&gt;G74,IF(SUM(E75:E78)&gt;SUM(F75:F78),SUM(E75:E78)-SUM(E75:E78),SUM(F75:F78)-SUM(E75:E78)),
IF(G79&lt;&gt;G73,IF(SUM(E74:E78)&gt;SUM(F74:F78),SUM(E74:E78)-SUM(E74:E78),SUM(E74:F78)-SUM(E74:E78)),
"après 6ème ligne")))))),"")),"")</f>
        <v/>
      </c>
      <c r="F79" s="25" t="str">
        <f t="shared" ref="F79:F82" si="26">IF(
IF(ISBLANK(G79),"",
IF(G79&lt;&gt;G80,
IF(G79&lt;&gt;G78,"",
IF(G79&lt;&gt;G77,IF(SUM(E78:E78)&gt;SUM(F78:F78),SUM(E78:E78)-SUM(F78:F78),SUM(F78:F78)-SUM(E78:E78)),
IF(G79&lt;&gt;G76,IF(SUM(E77:E78)&gt;SUM(F77:F78),SUM(E77:E78)-SUM(F77:F78),SUM(F77:F78)-SUM(E77:E78)),
IF(G79&lt;&gt;G75,IF(SUM(E76:E78)&gt;SUM(F76:F78),SUM(E76:E78)-SUM(E76:E78),SUM(F76:F78)-SUM(E76:E78)),
IF(G79&lt;&gt;G74,IF(SUM(E75:E78)&gt;SUM(F75:F78),SUM(E75:E78)-SUM(E75:E78),SUM(F75:F78)-SUM(E75:E78)),
IF(G79&lt;&gt;G73,IF(SUM(E74:E78)&gt;SUM(F74:F78),SUM(E74:E78)-SUM(E74:E78),SUM(E74:F78)-SUM(E74:E78)),
"après 6ème ligne")))))),""))&lt;0,IF(ISBLANK(G79),"",
IF(G79&lt;&gt;G80,
IF(G79&lt;&gt;G78,"",
IF(G79&lt;&gt;G77,IF(SUM(E78:E78)&gt;SUM(F78:F78),SUM(E78:E78)-SUM(F78:F78),SUM(F78:F78)-SUM(E78:E78)),
IF(G79&lt;&gt;G76,IF(SUM(E77:E78)&gt;SUM(F77:F78),SUM(E77:E78)-SUM(F77:F78),SUM(F77:F78)-SUM(E77:E78)),
IF(G79&lt;&gt;G75,IF(SUM(E76:E78)&gt;SUM(F76:F78),SUM(E76:E78)-SUM(E76:E78),SUM(F76:F78)-SUM(E76:E78)),
IF(G79&lt;&gt;G74,IF(SUM(E75:E78)&gt;SUM(F75:F78),SUM(E75:E78)-SUM(E75:E78),SUM(F75:F78)-SUM(E75:E78)),
IF(G79&lt;&gt;G73,IF(SUM(E74:E78)&gt;SUM(F74:F78),SUM(E74:E78)-SUM(E74:E78),SUM(E74:F78)-SUM(E74:E78)),
"après 6ème ligne")))))),"")),"")</f>
        <v/>
      </c>
      <c r="G79" s="25" t="str">
        <f>IF(ISTEXT(A79),"",IF(ISNUMBER(A79),A79,IF(ISNUMBER(A78),A78,IF(ISNUMBER(A77),A77,IF(ISNUMBER(A76),A76,IF(ISNUMBER(A75),A75,IF(ISNUMBER(A74),A74,IF(ISNUMBER(A73),A73,IF(ISNUMBER(A72),A72,IF(ISNUMBER(A71),A71,IF(ISNUMBER(A70),A70,IF(ISNUMBER(A69),A69,""))))))))))))</f>
        <v/>
      </c>
      <c r="H79" s="26"/>
      <c r="I79" s="26"/>
      <c r="J79" s="21"/>
    </row>
    <row r="80" spans="1:10" x14ac:dyDescent="0.2">
      <c r="A80" s="7">
        <v>1</v>
      </c>
      <c r="B80" s="2" t="s">
        <v>5</v>
      </c>
      <c r="C80" s="2" t="s">
        <v>56</v>
      </c>
      <c r="E80" s="8">
        <v>45000</v>
      </c>
      <c r="F80" s="8">
        <v>45000</v>
      </c>
      <c r="G80" s="8">
        <f t="shared" ref="G80:G91" si="27">IF(ISTEXT(A80),"",IF(ISNUMBER(A80),A80,IF(ISNUMBER(A79),A79,IF(ISNUMBER(A78),A78,IF(ISNUMBER(A77),A77,IF(ISNUMBER(A76),A76,IF(ISNUMBER(A75),A75,IF(ISNUMBER(A74),A74,IF(ISNUMBER(A73),A73,IF(ISNUMBER(A72),A72,IF(ISNUMBER(A71),A71,IF(ISNUMBER(A70),A70,""))))))))))))</f>
        <v>1</v>
      </c>
      <c r="H80" s="6">
        <f t="shared" ref="H80" si="28">IF(B80="","-",IF(ISNUMBER(E80),MROUND(E80,0.05),"calcul"))</f>
        <v>45000</v>
      </c>
      <c r="I80" s="6">
        <f t="shared" ref="I80" si="29">IF(C80="","-",IF(ISNUMBER(F80),MROUND(F80,0.05),"calcul"))</f>
        <v>45000</v>
      </c>
    </row>
    <row r="81" spans="1:9" x14ac:dyDescent="0.2">
      <c r="A81" s="7">
        <v>2</v>
      </c>
      <c r="B81" s="2" t="s">
        <v>57</v>
      </c>
      <c r="D81" s="3" t="s">
        <v>59</v>
      </c>
      <c r="E81" s="8">
        <f>25000/1.08*0.85</f>
        <v>19675.925925925923</v>
      </c>
      <c r="F81" s="8" t="str">
        <f t="shared" si="26"/>
        <v/>
      </c>
      <c r="G81" s="8">
        <f t="shared" si="27"/>
        <v>2</v>
      </c>
      <c r="H81" s="6">
        <f t="shared" ref="H81:H131" si="30">IF(B81="","-",IF(ISNUMBER(E81),MROUND(E81,0.05),"calcul"))</f>
        <v>19675.95</v>
      </c>
      <c r="I81" s="6" t="str">
        <f t="shared" ref="I81:I131" si="31">IF(C81="","-",IF(ISNUMBER(F81),MROUND(F81,0.05),"calcul"))</f>
        <v>-</v>
      </c>
    </row>
    <row r="82" spans="1:9" x14ac:dyDescent="0.2">
      <c r="B82" s="2" t="s">
        <v>58</v>
      </c>
      <c r="E82" s="8">
        <f>E81*0.08</f>
        <v>1574.0740740740739</v>
      </c>
      <c r="F82" s="8" t="str">
        <f t="shared" si="26"/>
        <v/>
      </c>
      <c r="G82" s="8">
        <f t="shared" si="27"/>
        <v>2</v>
      </c>
      <c r="H82" s="6">
        <f t="shared" si="30"/>
        <v>1574.0500000000002</v>
      </c>
      <c r="I82" s="6" t="str">
        <f t="shared" si="31"/>
        <v>-</v>
      </c>
    </row>
    <row r="83" spans="1:9" x14ac:dyDescent="0.2">
      <c r="C83" s="2" t="s">
        <v>4</v>
      </c>
      <c r="E83" s="8" t="str">
        <f>IF(
IF(ISBLANK(G83),"",
IF(G83&lt;&gt;G84,
IF(G83&lt;&gt;G82,"",
IF(G83&lt;&gt;G81,IF(SUM(E82:E82)&gt;SUM(F82:F82),"",SUM(F82:F82)-SUM(E82:E82)),
IF(G83&lt;&gt;G80,IF(SUM(E81:E82)&gt;SUM(F81:F82),"",SUM(F81:F82)-SUM(E81:E82)),
IF(G83&lt;&gt;G79,IF(SUM(E80:E82)&gt;SUM(F80:F82),"",SUM(F80:F82)-SUM(E80:E82)),
IF(G83&lt;&gt;G78,IF(SUM(E79:E82)&gt;SUM(F79:F82),"",SUM(F79:F82)-SUM(E79:E82)),
IF(G83&lt;&gt;G77,IF(SUM(E78:E82)&gt;SUM(F78:F82),"",SUM(F78:F82)-SUM(E78:E82)),
"après 6ème ligne")))))),""))&gt;0,IF(ISBLANK(G83),"",
IF(G83&lt;&gt;G84,
IF(G83&lt;&gt;G82,"",
IF(G83&lt;&gt;G81,IF(SUM(E82:E82)&gt;SUM(F82:F82),"",SUM(F82:F82)-SUM(E82:E82)),
IF(G83&lt;&gt;G80,IF(SUM(E81:E82)&gt;SUM(F81:F82),"",SUM(F81:F82)-SUM(E81:E82)),
IF(G83&lt;&gt;G79,IF(SUM(E80:E82)&gt;SUM(F80:F82),"",SUM(F80:F82)-SUM(E80:E82)),
IF(G83&lt;&gt;G78,IF(SUM(E79:E82)&gt;SUM(F79:F82),"",SUM(F79:F82)-SUM(E79:E82)),
IF(G83&lt;&gt;G77,IF(SUM(E78:E82)&gt;SUM(F78:F82),"",SUM(F78:F82)-SUM(E78:E82)),
"après 6ème ligne")))))),"")),"")</f>
        <v/>
      </c>
      <c r="F83" s="8">
        <f>IF(
IF(ISBLANK(G83),"",
IF(G83&lt;&gt;G84,
IF(G83&lt;&gt;G82,"",
IF(G83&lt;&gt;G81,IF(SUM(E82:E82)&lt;SUM(F82:F82),"",SUM(E82:E82)-SUM(F82:F82)),
IF(G83&lt;&gt;G80,IF(SUM(E81:E82)&lt;SUM(F81:F82),"",SUM(E81:E82)-SUM(F81:F82)),
IF(G83&lt;&gt;G79,IF(SUM(E80:E82)&lt;SUM(F80:F82),"",SUM(E80:E82)-SUM(F80:F82)),
IF(G83&lt;&gt;G78,IF(SUM(E79:E82)&lt;SUM(F79:F82),"",SUM(E79:E82)-SUM(F79:F82)),
IF(G83&lt;&gt;G77,IF(SUM(E78:E82)&lt;SUM(F78:F82),"",SUM(E78:E82)-SUM(F78:F82)),
"après 6ème ligne")))))),""))&gt;0,IF(ISBLANK(G83),"",
IF(G83&lt;&gt;G84,
IF(G83&lt;&gt;G82,"",
IF(G83&lt;&gt;G81,IF(SUM(E82:E82)&lt;SUM(F82:F82),"",SUM(E82:E82)-SUM(F82:F82)),
IF(G83&lt;&gt;G80,IF(SUM(E81:E82)&lt;SUM(F81:F82),"",SUM(E81:E82)-SUM(F81:F82)),
IF(G83&lt;&gt;G79,IF(SUM(E80:E82)&lt;SUM(F80:F82),"",SUM(E80:E82)-SUM(F80:F82)),
IF(G83&lt;&gt;G78,IF(SUM(E79:E82)&lt;SUM(F79:F82),"",SUM(E79:E82)-SUM(F79:F82)),
IF(G83&lt;&gt;G77,IF(SUM(E78:E82)&lt;SUM(F78:F82),"",SUM(E78:E82)-SUM(F78:F82)),
"après 6ème ligne")))))),"")),"")</f>
        <v>21249.999999999996</v>
      </c>
      <c r="G83" s="8">
        <f t="shared" si="27"/>
        <v>2</v>
      </c>
      <c r="H83" s="6" t="str">
        <f t="shared" si="30"/>
        <v>-</v>
      </c>
      <c r="I83" s="6">
        <f t="shared" si="31"/>
        <v>21250</v>
      </c>
    </row>
    <row r="84" spans="1:9" x14ac:dyDescent="0.2">
      <c r="A84" s="7">
        <v>3</v>
      </c>
      <c r="B84" s="2" t="s">
        <v>40</v>
      </c>
      <c r="C84" s="2" t="s">
        <v>4</v>
      </c>
      <c r="D84" s="3" t="s">
        <v>60</v>
      </c>
      <c r="E84" s="8">
        <f>9000*1.22</f>
        <v>10980</v>
      </c>
      <c r="F84" s="8">
        <f>9000*1.22</f>
        <v>10980</v>
      </c>
      <c r="G84" s="8">
        <f t="shared" si="27"/>
        <v>3</v>
      </c>
      <c r="H84" s="6">
        <f t="shared" si="30"/>
        <v>10980</v>
      </c>
      <c r="I84" s="6">
        <f t="shared" si="31"/>
        <v>10980</v>
      </c>
    </row>
    <row r="85" spans="1:9" x14ac:dyDescent="0.2">
      <c r="B85" s="2" t="s">
        <v>23</v>
      </c>
      <c r="E85" s="8">
        <v>800</v>
      </c>
      <c r="F85" s="8" t="str">
        <f t="shared" ref="F85:F93" si="32">IF(
IF(ISBLANK(G85),"",
IF(G85&lt;&gt;G86,
IF(G85&lt;&gt;G84,"",
IF(G85&lt;&gt;G83,IF(SUM(E84:E84)&lt;SUM(F84:F84),"",SUM(E84:E84)-SUM(F84:F84)),
IF(G85&lt;&gt;G82,IF(SUM(E83:E84)&lt;SUM(F83:F84),"",SUM(E83:E84)-SUM(F83:F84)),
IF(G85&lt;&gt;G81,IF(SUM(E82:E84)&lt;SUM(F82:F84),"",SUM(E82:E84)-SUM(F82:F84)),
IF(G85&lt;&gt;G80,IF(SUM(E81:E84)&lt;SUM(F81:F84),"",SUM(E81:E84)-SUM(F81:F84)),
IF(G85&lt;&gt;G79,IF(SUM(E80:E84)&lt;SUM(F80:F84),"",SUM(E80:E84)-SUM(F80:F84)),
"après 6ème ligne")))))),""))&gt;0,IF(ISBLANK(G85),"",
IF(G85&lt;&gt;G86,
IF(G85&lt;&gt;G84,"",
IF(G85&lt;&gt;G83,IF(SUM(E84:E84)&lt;SUM(F84:F84),"",SUM(E84:E84)-SUM(F84:F84)),
IF(G85&lt;&gt;G82,IF(SUM(E83:E84)&lt;SUM(F83:F84),"",SUM(E83:E84)-SUM(F83:F84)),
IF(G85&lt;&gt;G81,IF(SUM(E82:E84)&lt;SUM(F82:F84),"",SUM(E82:E84)-SUM(F82:F84)),
IF(G85&lt;&gt;G80,IF(SUM(E81:E84)&lt;SUM(F81:F84),"",SUM(E81:E84)-SUM(F81:F84)),
IF(G85&lt;&gt;G79,IF(SUM(E80:E84)&lt;SUM(F80:F84),"",SUM(E80:E84)-SUM(F80:F84)),
"après 6ème ligne")))))),"")),"")</f>
        <v/>
      </c>
      <c r="G85" s="8">
        <f t="shared" si="27"/>
        <v>3</v>
      </c>
      <c r="H85" s="6">
        <f t="shared" si="30"/>
        <v>800</v>
      </c>
      <c r="I85" s="6" t="str">
        <f t="shared" si="31"/>
        <v>-</v>
      </c>
    </row>
    <row r="86" spans="1:9" x14ac:dyDescent="0.2">
      <c r="B86" s="2" t="s">
        <v>19</v>
      </c>
      <c r="D86" s="3" t="s">
        <v>61</v>
      </c>
      <c r="E86" s="8">
        <f>800*0.08</f>
        <v>64</v>
      </c>
      <c r="F86" s="8" t="str">
        <f t="shared" si="32"/>
        <v/>
      </c>
      <c r="G86" s="8">
        <f t="shared" si="27"/>
        <v>3</v>
      </c>
      <c r="H86" s="6">
        <f t="shared" si="30"/>
        <v>64</v>
      </c>
      <c r="I86" s="6" t="str">
        <f t="shared" si="31"/>
        <v>-</v>
      </c>
    </row>
    <row r="87" spans="1:9" x14ac:dyDescent="0.2">
      <c r="C87" s="2" t="s">
        <v>4</v>
      </c>
      <c r="E87" s="8" t="str">
        <f t="shared" ref="E87:E94" si="33">IF(
IF(ISBLANK(G87),"",
IF(G87&lt;&gt;G88,
IF(G87&lt;&gt;G86,"",
IF(G87&lt;&gt;G85,IF(SUM(E86:E86)&gt;SUM(F86:F86),"",SUM(F86:F86)-SUM(E86:E86)),
IF(G87&lt;&gt;G84,IF(SUM(E85:E86)&gt;SUM(F85:F86),"",SUM(F85:F86)-SUM(E85:E86)),
IF(G87&lt;&gt;G83,IF(SUM(E84:E86)&gt;SUM(F84:F86),"",SUM(F84:F86)-SUM(E84:E86)),
IF(G87&lt;&gt;G82,IF(SUM(E83:E86)&gt;SUM(F83:F86),"",SUM(F83:F86)-SUM(E83:E86)),
IF(G87&lt;&gt;G81,IF(SUM(E82:E86)&gt;SUM(F82:F86),"",SUM(F82:F86)-SUM(E82:E86)),
"après 6ème ligne")))))),""))&gt;0,IF(ISBLANK(G87),"",
IF(G87&lt;&gt;G88,
IF(G87&lt;&gt;G86,"",
IF(G87&lt;&gt;G85,IF(SUM(E86:E86)&gt;SUM(F86:F86),"",SUM(F86:F86)-SUM(E86:E86)),
IF(G87&lt;&gt;G84,IF(SUM(E85:E86)&gt;SUM(F85:F86),"",SUM(F85:F86)-SUM(E85:E86)),
IF(G87&lt;&gt;G83,IF(SUM(E84:E86)&gt;SUM(F84:F86),"",SUM(F84:F86)-SUM(E84:E86)),
IF(G87&lt;&gt;G82,IF(SUM(E83:E86)&gt;SUM(F83:F86),"",SUM(F83:F86)-SUM(E83:E86)),
IF(G87&lt;&gt;G81,IF(SUM(E82:E86)&gt;SUM(F82:F86),"",SUM(F82:F86)-SUM(E82:E86)),
"après 6ème ligne")))))),"")),"")</f>
        <v/>
      </c>
      <c r="F87" s="8">
        <f t="shared" si="32"/>
        <v>864</v>
      </c>
      <c r="G87" s="8">
        <f t="shared" si="27"/>
        <v>3</v>
      </c>
      <c r="H87" s="6" t="str">
        <f t="shared" si="30"/>
        <v>-</v>
      </c>
      <c r="I87" s="6">
        <f t="shared" si="31"/>
        <v>864</v>
      </c>
    </row>
    <row r="88" spans="1:9" x14ac:dyDescent="0.2">
      <c r="A88" s="7">
        <v>4</v>
      </c>
      <c r="B88" s="2" t="s">
        <v>19</v>
      </c>
      <c r="D88" s="3" t="s">
        <v>62</v>
      </c>
      <c r="E88" s="8">
        <f>9000*1.25*0.08</f>
        <v>900</v>
      </c>
      <c r="F88" s="8" t="str">
        <f t="shared" si="32"/>
        <v/>
      </c>
      <c r="G88" s="8">
        <f t="shared" si="27"/>
        <v>4</v>
      </c>
      <c r="H88" s="6">
        <f t="shared" si="30"/>
        <v>900</v>
      </c>
      <c r="I88" s="6" t="str">
        <f t="shared" si="31"/>
        <v>-</v>
      </c>
    </row>
    <row r="89" spans="1:9" x14ac:dyDescent="0.2">
      <c r="B89" s="2" t="s">
        <v>23</v>
      </c>
      <c r="E89" s="8">
        <v>90</v>
      </c>
      <c r="F89" s="8" t="str">
        <f t="shared" si="32"/>
        <v/>
      </c>
      <c r="G89" s="8">
        <f t="shared" si="27"/>
        <v>4</v>
      </c>
      <c r="H89" s="6">
        <f t="shared" si="30"/>
        <v>90</v>
      </c>
      <c r="I89" s="6" t="str">
        <f t="shared" si="31"/>
        <v>-</v>
      </c>
    </row>
    <row r="90" spans="1:9" x14ac:dyDescent="0.2">
      <c r="C90" s="2" t="s">
        <v>32</v>
      </c>
      <c r="E90" s="8" t="str">
        <f t="shared" si="33"/>
        <v/>
      </c>
      <c r="F90" s="8">
        <f t="shared" si="32"/>
        <v>990</v>
      </c>
      <c r="G90" s="8">
        <f t="shared" si="27"/>
        <v>4</v>
      </c>
      <c r="H90" s="6" t="str">
        <f t="shared" si="30"/>
        <v>-</v>
      </c>
      <c r="I90" s="6">
        <f t="shared" si="31"/>
        <v>990</v>
      </c>
    </row>
    <row r="91" spans="1:9" x14ac:dyDescent="0.2">
      <c r="A91" s="7">
        <v>5</v>
      </c>
      <c r="C91" s="2" t="s">
        <v>63</v>
      </c>
      <c r="E91" s="8" t="str">
        <f t="shared" si="33"/>
        <v/>
      </c>
      <c r="F91" s="8">
        <v>8000</v>
      </c>
      <c r="G91" s="8">
        <f t="shared" si="27"/>
        <v>5</v>
      </c>
      <c r="H91" s="6" t="str">
        <f t="shared" si="30"/>
        <v>-</v>
      </c>
      <c r="I91" s="6">
        <f t="shared" si="31"/>
        <v>8000</v>
      </c>
    </row>
    <row r="92" spans="1:9" x14ac:dyDescent="0.2">
      <c r="B92" s="2" t="s">
        <v>64</v>
      </c>
      <c r="D92" s="3" t="s">
        <v>66</v>
      </c>
      <c r="E92" s="8">
        <f>8000*0.05</f>
        <v>400</v>
      </c>
      <c r="F92" s="8" t="str">
        <f t="shared" si="32"/>
        <v/>
      </c>
      <c r="G92" s="8">
        <f t="shared" ref="G92:G108" si="34">IF(ISTEXT(A92),"",IF(ISNUMBER(A92),A92,IF(ISNUMBER(A91),A91,IF(ISNUMBER(A90),A90,IF(ISNUMBER(A89),A89,IF(ISNUMBER(A88),A88,IF(ISNUMBER(A87),A87,IF(ISNUMBER(A86),A86,IF(ISNUMBER(A85),A85,IF(ISNUMBER(A84),A84,IF(ISNUMBER(A83),A83,IF(ISNUMBER(A82),A82,""))))))))))))</f>
        <v>5</v>
      </c>
      <c r="H92" s="6">
        <f t="shared" si="30"/>
        <v>400</v>
      </c>
      <c r="I92" s="6" t="str">
        <f t="shared" si="31"/>
        <v>-</v>
      </c>
    </row>
    <row r="93" spans="1:9" x14ac:dyDescent="0.2">
      <c r="B93" s="2" t="s">
        <v>65</v>
      </c>
      <c r="D93" s="3" t="s">
        <v>67</v>
      </c>
      <c r="E93" s="8">
        <f>7600*0.02</f>
        <v>152</v>
      </c>
      <c r="F93" s="8" t="str">
        <f t="shared" si="32"/>
        <v/>
      </c>
      <c r="G93" s="8">
        <f t="shared" si="34"/>
        <v>5</v>
      </c>
      <c r="H93" s="6">
        <f t="shared" si="30"/>
        <v>152</v>
      </c>
      <c r="I93" s="6" t="str">
        <f t="shared" si="31"/>
        <v>-</v>
      </c>
    </row>
    <row r="94" spans="1:9" x14ac:dyDescent="0.2">
      <c r="C94" s="2" t="s">
        <v>7</v>
      </c>
      <c r="D94" s="3" t="s">
        <v>68</v>
      </c>
      <c r="E94" s="8" t="str">
        <f t="shared" si="33"/>
        <v/>
      </c>
      <c r="F94" s="8">
        <f>(8000-552)*0.08</f>
        <v>595.84</v>
      </c>
      <c r="G94" s="8">
        <f t="shared" si="34"/>
        <v>5</v>
      </c>
      <c r="H94" s="6" t="str">
        <f t="shared" si="30"/>
        <v>-</v>
      </c>
      <c r="I94" s="6">
        <f t="shared" si="31"/>
        <v>595.85</v>
      </c>
    </row>
    <row r="95" spans="1:9" x14ac:dyDescent="0.2">
      <c r="B95" s="2" t="s">
        <v>32</v>
      </c>
      <c r="E95" s="8">
        <f t="shared" ref="E95:E131" si="35">IF(
IF(ISBLANK(G95),"",
IF(G95&lt;&gt;G96,
IF(G95&lt;&gt;G94,"",
IF(G95&lt;&gt;G93,IF(SUM(E94:E94)&gt;SUM(F94:F94),"",SUM(F94:F94)-SUM(E94:E94)),
IF(G95&lt;&gt;G92,IF(SUM(E93:E94)&gt;SUM(F93:F94),"",SUM(F93:F94)-SUM(E93:E94)),
IF(G95&lt;&gt;G91,IF(SUM(E92:E94)&gt;SUM(F92:F94),"",SUM(F92:F94)-SUM(E92:E94)),
IF(G95&lt;&gt;G90,IF(SUM(E91:E94)&gt;SUM(F91:F94),"",SUM(F91:F94)-SUM(E91:E94)),
IF(G95&lt;&gt;G89,IF(SUM(E90:E94)&gt;SUM(F90:F94),"",SUM(F90:F94)-SUM(E90:E94)),
"après 6ème ligne")))))),""))&gt;0,IF(ISBLANK(G95),"",
IF(G95&lt;&gt;G96,
IF(G95&lt;&gt;G94,"",
IF(G95&lt;&gt;G93,IF(SUM(E94:E94)&gt;SUM(F94:F94),"",SUM(F94:F94)-SUM(E94:E94)),
IF(G95&lt;&gt;G92,IF(SUM(E93:E94)&gt;SUM(F93:F94),"",SUM(F93:F94)-SUM(E93:E94)),
IF(G95&lt;&gt;G91,IF(SUM(E92:E94)&gt;SUM(F92:F94),"",SUM(F92:F94)-SUM(E92:E94)),
IF(G95&lt;&gt;G90,IF(SUM(E91:E94)&gt;SUM(F91:F94),"",SUM(F91:F94)-SUM(E91:E94)),
IF(G95&lt;&gt;G89,IF(SUM(E90:E94)&gt;SUM(F90:F94),"",SUM(F90:F94)-SUM(E90:E94)),
"après 6ème ligne")))))),"")),"")</f>
        <v>8043.84</v>
      </c>
      <c r="F95" s="8" t="str">
        <f t="shared" ref="F95:F129" si="36">IF(
IF(ISBLANK(G95),"",
IF(G95&lt;&gt;G96,
IF(G95&lt;&gt;G94,"",
IF(G95&lt;&gt;G93,IF(SUM(E94:E94)&lt;SUM(F94:F94),"",SUM(E94:E94)-SUM(F94:F94)),
IF(G95&lt;&gt;G92,IF(SUM(E93:E94)&lt;SUM(F93:F94),"",SUM(E93:E94)-SUM(F93:F94)),
IF(G95&lt;&gt;G91,IF(SUM(E92:E94)&lt;SUM(F92:F94),"",SUM(E92:E94)-SUM(F92:F94)),
IF(G95&lt;&gt;G90,IF(SUM(E91:E94)&lt;SUM(F91:F94),"",SUM(E91:E94)-SUM(F91:F94)),
IF(G95&lt;&gt;G89,IF(SUM(E90:E94)&lt;SUM(F90:F94),"",SUM(E90:E94)-SUM(F90:F94)),
"après 6ème ligne")))))),""))&gt;0,IF(ISBLANK(G95),"",
IF(G95&lt;&gt;G96,
IF(G95&lt;&gt;G94,"",
IF(G95&lt;&gt;G93,IF(SUM(E94:E94)&lt;SUM(F94:F94),"",SUM(E94:E94)-SUM(F94:F94)),
IF(G95&lt;&gt;G92,IF(SUM(E93:E94)&lt;SUM(F93:F94),"",SUM(E93:E94)-SUM(F93:F94)),
IF(G95&lt;&gt;G91,IF(SUM(E92:E94)&lt;SUM(F92:F94),"",SUM(E92:E94)-SUM(F92:F94)),
IF(G95&lt;&gt;G90,IF(SUM(E91:E94)&lt;SUM(F91:F94),"",SUM(E91:E94)-SUM(F91:F94)),
IF(G95&lt;&gt;G89,IF(SUM(E90:E94)&lt;SUM(F90:F94),"",SUM(E90:E94)-SUM(F90:F94)),
"après 6ème ligne")))))),"")),"")</f>
        <v/>
      </c>
      <c r="G95" s="8">
        <f t="shared" si="34"/>
        <v>5</v>
      </c>
      <c r="H95" s="6">
        <f t="shared" si="30"/>
        <v>8043.85</v>
      </c>
      <c r="I95" s="6" t="str">
        <f t="shared" si="31"/>
        <v>-</v>
      </c>
    </row>
    <row r="96" spans="1:9" x14ac:dyDescent="0.2">
      <c r="A96" s="7">
        <v>6</v>
      </c>
      <c r="B96" s="2" t="s">
        <v>5</v>
      </c>
      <c r="D96" s="3" t="s">
        <v>69</v>
      </c>
      <c r="E96" s="8">
        <v>34000</v>
      </c>
      <c r="F96" s="8" t="str">
        <f t="shared" si="36"/>
        <v/>
      </c>
      <c r="G96" s="8">
        <f t="shared" si="34"/>
        <v>6</v>
      </c>
      <c r="H96" s="6">
        <f t="shared" si="30"/>
        <v>34000</v>
      </c>
      <c r="I96" s="6" t="str">
        <f t="shared" si="31"/>
        <v>-</v>
      </c>
    </row>
    <row r="97" spans="1:9" x14ac:dyDescent="0.2">
      <c r="B97" s="2" t="s">
        <v>64</v>
      </c>
      <c r="D97" s="3" t="s">
        <v>70</v>
      </c>
      <c r="E97" s="8">
        <f>E96/4/1.08</f>
        <v>7870.3703703703695</v>
      </c>
      <c r="F97" s="8" t="str">
        <f t="shared" si="36"/>
        <v/>
      </c>
      <c r="G97" s="8">
        <f t="shared" si="34"/>
        <v>6</v>
      </c>
      <c r="H97" s="6">
        <f t="shared" si="30"/>
        <v>7870.35</v>
      </c>
      <c r="I97" s="6" t="str">
        <f t="shared" si="31"/>
        <v>-</v>
      </c>
    </row>
    <row r="98" spans="1:9" x14ac:dyDescent="0.2">
      <c r="B98" s="2" t="s">
        <v>7</v>
      </c>
      <c r="D98" s="3" t="s">
        <v>71</v>
      </c>
      <c r="E98" s="8">
        <f>E97*0.08</f>
        <v>629.62962962962956</v>
      </c>
      <c r="F98" s="8" t="str">
        <f t="shared" si="36"/>
        <v/>
      </c>
      <c r="G98" s="8">
        <f t="shared" si="34"/>
        <v>6</v>
      </c>
      <c r="H98" s="6">
        <f t="shared" si="30"/>
        <v>629.65000000000009</v>
      </c>
      <c r="I98" s="6" t="str">
        <f t="shared" si="31"/>
        <v>-</v>
      </c>
    </row>
    <row r="99" spans="1:9" x14ac:dyDescent="0.2">
      <c r="C99" s="2" t="s">
        <v>6</v>
      </c>
      <c r="D99" s="3" t="s">
        <v>72</v>
      </c>
      <c r="E99" s="8" t="str">
        <f t="shared" si="35"/>
        <v/>
      </c>
      <c r="F99" s="8">
        <f t="shared" si="36"/>
        <v>42500</v>
      </c>
      <c r="G99" s="8">
        <f t="shared" si="34"/>
        <v>6</v>
      </c>
      <c r="H99" s="6" t="str">
        <f t="shared" si="30"/>
        <v>-</v>
      </c>
      <c r="I99" s="6">
        <f t="shared" si="31"/>
        <v>42500</v>
      </c>
    </row>
    <row r="100" spans="1:9" x14ac:dyDescent="0.2">
      <c r="A100" s="7">
        <v>7</v>
      </c>
      <c r="B100" s="2" t="s">
        <v>4</v>
      </c>
      <c r="E100" s="8">
        <f>F83</f>
        <v>21249.999999999996</v>
      </c>
      <c r="F100" s="8" t="str">
        <f t="shared" si="36"/>
        <v/>
      </c>
      <c r="G100" s="8">
        <f t="shared" si="34"/>
        <v>7</v>
      </c>
      <c r="H100" s="6">
        <f t="shared" si="30"/>
        <v>21250</v>
      </c>
      <c r="I100" s="6" t="str">
        <f t="shared" si="31"/>
        <v>-</v>
      </c>
    </row>
    <row r="101" spans="1:9" x14ac:dyDescent="0.2">
      <c r="C101" s="2" t="s">
        <v>28</v>
      </c>
      <c r="D101" s="3" t="s">
        <v>73</v>
      </c>
      <c r="E101" s="8" t="str">
        <f t="shared" si="35"/>
        <v/>
      </c>
      <c r="F101" s="8">
        <f>E100*0.03/1.08</f>
        <v>590.2777777777776</v>
      </c>
      <c r="G101" s="8">
        <f t="shared" si="34"/>
        <v>7</v>
      </c>
      <c r="H101" s="6" t="str">
        <f t="shared" si="30"/>
        <v>-</v>
      </c>
      <c r="I101" s="6">
        <f t="shared" si="31"/>
        <v>590.30000000000007</v>
      </c>
    </row>
    <row r="102" spans="1:9" x14ac:dyDescent="0.2">
      <c r="C102" s="2" t="s">
        <v>58</v>
      </c>
      <c r="E102" s="8" t="str">
        <f t="shared" si="35"/>
        <v/>
      </c>
      <c r="F102" s="8">
        <f>F101*0.08</f>
        <v>47.222222222222207</v>
      </c>
      <c r="G102" s="8">
        <f t="shared" si="34"/>
        <v>7</v>
      </c>
      <c r="H102" s="6" t="str">
        <f t="shared" si="30"/>
        <v>-</v>
      </c>
      <c r="I102" s="6">
        <f t="shared" si="31"/>
        <v>47.2</v>
      </c>
    </row>
    <row r="103" spans="1:9" x14ac:dyDescent="0.2">
      <c r="C103" s="2" t="s">
        <v>5</v>
      </c>
      <c r="E103" s="8" t="str">
        <f t="shared" si="35"/>
        <v/>
      </c>
      <c r="F103" s="8">
        <f t="shared" si="36"/>
        <v>20612.499999999996</v>
      </c>
      <c r="G103" s="8">
        <f t="shared" si="34"/>
        <v>7</v>
      </c>
      <c r="H103" s="6" t="str">
        <f t="shared" si="30"/>
        <v>-</v>
      </c>
      <c r="I103" s="6">
        <f t="shared" si="31"/>
        <v>20612.5</v>
      </c>
    </row>
    <row r="104" spans="1:9" x14ac:dyDescent="0.2">
      <c r="A104" s="7">
        <v>8</v>
      </c>
      <c r="B104" s="2" t="s">
        <v>4</v>
      </c>
      <c r="C104" s="2" t="s">
        <v>5</v>
      </c>
      <c r="D104" s="3" t="s">
        <v>60</v>
      </c>
      <c r="E104" s="8">
        <f>E84</f>
        <v>10980</v>
      </c>
      <c r="F104" s="8">
        <f>F84</f>
        <v>10980</v>
      </c>
      <c r="G104" s="8">
        <f t="shared" si="34"/>
        <v>8</v>
      </c>
      <c r="H104" s="6">
        <f t="shared" si="30"/>
        <v>10980</v>
      </c>
      <c r="I104" s="6">
        <f t="shared" si="31"/>
        <v>10980</v>
      </c>
    </row>
    <row r="105" spans="1:9" x14ac:dyDescent="0.2">
      <c r="A105" s="7">
        <v>9</v>
      </c>
      <c r="C105" s="2" t="s">
        <v>75</v>
      </c>
      <c r="D105" s="3" t="s">
        <v>74</v>
      </c>
      <c r="E105" s="8" t="str">
        <f t="shared" si="35"/>
        <v/>
      </c>
      <c r="F105" s="8">
        <f>100000*2.25*32/36000</f>
        <v>200</v>
      </c>
      <c r="G105" s="8">
        <f t="shared" si="34"/>
        <v>9</v>
      </c>
      <c r="H105" s="6" t="str">
        <f t="shared" si="30"/>
        <v>-</v>
      </c>
      <c r="I105" s="6">
        <f t="shared" si="31"/>
        <v>200</v>
      </c>
    </row>
    <row r="106" spans="1:9" x14ac:dyDescent="0.2">
      <c r="B106" s="2" t="s">
        <v>76</v>
      </c>
      <c r="D106" s="3" t="s">
        <v>77</v>
      </c>
      <c r="E106" s="8">
        <f>200*0.35</f>
        <v>70</v>
      </c>
      <c r="F106" s="8" t="str">
        <f t="shared" si="36"/>
        <v/>
      </c>
      <c r="G106" s="8">
        <f t="shared" si="34"/>
        <v>9</v>
      </c>
      <c r="H106" s="6">
        <f t="shared" si="30"/>
        <v>70</v>
      </c>
      <c r="I106" s="6" t="str">
        <f t="shared" si="31"/>
        <v>-</v>
      </c>
    </row>
    <row r="107" spans="1:9" x14ac:dyDescent="0.2">
      <c r="B107" s="2" t="s">
        <v>5</v>
      </c>
      <c r="D107" s="3" t="s">
        <v>81</v>
      </c>
      <c r="E107" s="8">
        <f t="shared" si="35"/>
        <v>130</v>
      </c>
      <c r="F107" s="8" t="str">
        <f t="shared" si="36"/>
        <v/>
      </c>
      <c r="G107" s="8">
        <f t="shared" si="34"/>
        <v>9</v>
      </c>
      <c r="H107" s="6">
        <f t="shared" si="30"/>
        <v>130</v>
      </c>
      <c r="I107" s="6" t="str">
        <f t="shared" si="31"/>
        <v>-</v>
      </c>
    </row>
    <row r="108" spans="1:9" x14ac:dyDescent="0.2">
      <c r="A108" s="7">
        <v>10</v>
      </c>
      <c r="B108" s="2" t="s">
        <v>78</v>
      </c>
      <c r="E108" s="8">
        <v>10000</v>
      </c>
      <c r="F108" s="8" t="str">
        <f t="shared" si="36"/>
        <v/>
      </c>
      <c r="G108" s="8">
        <f t="shared" si="34"/>
        <v>10</v>
      </c>
      <c r="H108" s="6">
        <f t="shared" si="30"/>
        <v>10000</v>
      </c>
      <c r="I108" s="6" t="str">
        <f t="shared" si="31"/>
        <v>-</v>
      </c>
    </row>
    <row r="109" spans="1:9" x14ac:dyDescent="0.2">
      <c r="B109" s="2" t="s">
        <v>79</v>
      </c>
      <c r="D109" s="3" t="s">
        <v>80</v>
      </c>
      <c r="E109" s="8">
        <f>40000*0.03*125/360</f>
        <v>416.66666666666669</v>
      </c>
      <c r="F109" s="8" t="str">
        <f t="shared" si="36"/>
        <v/>
      </c>
      <c r="G109" s="8">
        <f t="shared" ref="G109:G131" si="37">IF(ISTEXT(A109),"",IF(ISNUMBER(A109),A109,IF(ISNUMBER(A108),A108,IF(ISNUMBER(A107),A107,IF(ISNUMBER(A106),A106,IF(ISNUMBER(A105),A105,IF(ISNUMBER(A104),A104,IF(ISNUMBER(A103),A103,IF(ISNUMBER(A102),A102,IF(ISNUMBER(A101),A101,IF(ISNUMBER(A100),A100,IF(ISNUMBER(A99),A99,""))))))))))))</f>
        <v>10</v>
      </c>
      <c r="H109" s="6">
        <f t="shared" si="30"/>
        <v>416.65000000000003</v>
      </c>
      <c r="I109" s="6" t="str">
        <f t="shared" si="31"/>
        <v>-</v>
      </c>
    </row>
    <row r="110" spans="1:9" x14ac:dyDescent="0.2">
      <c r="C110" s="2" t="s">
        <v>5</v>
      </c>
      <c r="E110" s="8" t="str">
        <f t="shared" si="35"/>
        <v/>
      </c>
      <c r="F110" s="8">
        <f t="shared" si="36"/>
        <v>10416.666666666666</v>
      </c>
      <c r="G110" s="8">
        <f t="shared" si="37"/>
        <v>10</v>
      </c>
      <c r="H110" s="6" t="str">
        <f t="shared" si="30"/>
        <v>-</v>
      </c>
      <c r="I110" s="6">
        <f t="shared" si="31"/>
        <v>10416.650000000001</v>
      </c>
    </row>
    <row r="111" spans="1:9" x14ac:dyDescent="0.2">
      <c r="A111" s="7">
        <v>11</v>
      </c>
      <c r="B111" s="2" t="s">
        <v>6</v>
      </c>
      <c r="C111" s="2" t="s">
        <v>32</v>
      </c>
      <c r="E111" s="8">
        <v>120</v>
      </c>
      <c r="F111" s="8">
        <v>120</v>
      </c>
      <c r="G111" s="8">
        <f t="shared" si="37"/>
        <v>11</v>
      </c>
      <c r="H111" s="6">
        <f t="shared" si="30"/>
        <v>120</v>
      </c>
      <c r="I111" s="6">
        <f t="shared" si="31"/>
        <v>120</v>
      </c>
    </row>
    <row r="112" spans="1:9" x14ac:dyDescent="0.2">
      <c r="A112" s="7">
        <v>12</v>
      </c>
      <c r="B112" s="2" t="s">
        <v>32</v>
      </c>
      <c r="E112" s="8">
        <f>650*1.08</f>
        <v>702</v>
      </c>
      <c r="F112" s="8" t="str">
        <f t="shared" si="36"/>
        <v/>
      </c>
      <c r="G112" s="8">
        <f t="shared" si="37"/>
        <v>12</v>
      </c>
      <c r="H112" s="6">
        <f t="shared" si="30"/>
        <v>702</v>
      </c>
      <c r="I112" s="6" t="str">
        <f t="shared" si="31"/>
        <v>-</v>
      </c>
    </row>
    <row r="113" spans="1:9" x14ac:dyDescent="0.2">
      <c r="C113" s="2" t="s">
        <v>7</v>
      </c>
      <c r="E113" s="8" t="str">
        <f t="shared" si="35"/>
        <v/>
      </c>
      <c r="F113" s="8">
        <f>650*0.08</f>
        <v>52</v>
      </c>
      <c r="G113" s="8">
        <f t="shared" si="37"/>
        <v>12</v>
      </c>
      <c r="H113" s="6" t="str">
        <f t="shared" si="30"/>
        <v>-</v>
      </c>
      <c r="I113" s="6">
        <f t="shared" si="31"/>
        <v>52</v>
      </c>
    </row>
    <row r="114" spans="1:9" x14ac:dyDescent="0.2">
      <c r="C114" s="2" t="s">
        <v>82</v>
      </c>
      <c r="E114" s="8" t="str">
        <f t="shared" si="35"/>
        <v/>
      </c>
      <c r="F114" s="8">
        <f t="shared" si="36"/>
        <v>650</v>
      </c>
      <c r="G114" s="8">
        <f t="shared" si="37"/>
        <v>12</v>
      </c>
      <c r="H114" s="6" t="str">
        <f t="shared" si="30"/>
        <v>-</v>
      </c>
      <c r="I114" s="6">
        <f t="shared" si="31"/>
        <v>650</v>
      </c>
    </row>
    <row r="115" spans="1:9" x14ac:dyDescent="0.2">
      <c r="A115" s="7">
        <v>13</v>
      </c>
      <c r="C115" s="2" t="s">
        <v>6</v>
      </c>
      <c r="D115" s="3" t="s">
        <v>84</v>
      </c>
      <c r="E115" s="8" t="str">
        <f t="shared" si="35"/>
        <v/>
      </c>
      <c r="F115" s="8">
        <f>(5400*1.08)+120</f>
        <v>5952</v>
      </c>
      <c r="G115" s="8">
        <f t="shared" si="37"/>
        <v>13</v>
      </c>
      <c r="H115" s="6" t="str">
        <f t="shared" si="30"/>
        <v>-</v>
      </c>
      <c r="I115" s="6">
        <f t="shared" si="31"/>
        <v>5952</v>
      </c>
    </row>
    <row r="116" spans="1:9" x14ac:dyDescent="0.2">
      <c r="B116" s="2" t="s">
        <v>83</v>
      </c>
      <c r="D116" s="3" t="s">
        <v>85</v>
      </c>
      <c r="E116" s="8">
        <v>1000</v>
      </c>
      <c r="F116" s="8" t="str">
        <f t="shared" si="36"/>
        <v/>
      </c>
      <c r="G116" s="8">
        <f t="shared" si="37"/>
        <v>13</v>
      </c>
      <c r="H116" s="6">
        <f t="shared" si="30"/>
        <v>1000</v>
      </c>
      <c r="I116" s="6" t="str">
        <f t="shared" si="31"/>
        <v>-</v>
      </c>
    </row>
    <row r="117" spans="1:9" x14ac:dyDescent="0.2">
      <c r="B117" s="2" t="s">
        <v>82</v>
      </c>
      <c r="D117" s="3" t="s">
        <v>86</v>
      </c>
      <c r="E117" s="8">
        <f>((5952-1000-120)/1.08)+120</f>
        <v>4594.0740740740739</v>
      </c>
      <c r="F117" s="8" t="str">
        <f t="shared" si="36"/>
        <v/>
      </c>
      <c r="G117" s="8">
        <f t="shared" si="37"/>
        <v>13</v>
      </c>
      <c r="H117" s="6">
        <f t="shared" si="30"/>
        <v>4594.05</v>
      </c>
      <c r="I117" s="6" t="str">
        <f t="shared" si="31"/>
        <v>-</v>
      </c>
    </row>
    <row r="118" spans="1:9" x14ac:dyDescent="0.2">
      <c r="B118" s="2" t="s">
        <v>7</v>
      </c>
      <c r="E118" s="8">
        <f t="shared" si="35"/>
        <v>357.92592592592609</v>
      </c>
      <c r="F118" s="8" t="str">
        <f t="shared" si="36"/>
        <v/>
      </c>
      <c r="G118" s="8">
        <f t="shared" si="37"/>
        <v>13</v>
      </c>
      <c r="H118" s="6">
        <f t="shared" si="30"/>
        <v>357.95000000000005</v>
      </c>
      <c r="I118" s="6" t="str">
        <f t="shared" si="31"/>
        <v>-</v>
      </c>
    </row>
    <row r="119" spans="1:9" x14ac:dyDescent="0.2">
      <c r="A119" s="7">
        <v>14</v>
      </c>
      <c r="B119" s="2" t="s">
        <v>89</v>
      </c>
      <c r="C119" s="2" t="s">
        <v>82</v>
      </c>
      <c r="D119" s="3" t="s">
        <v>88</v>
      </c>
      <c r="E119" s="8">
        <v>11000</v>
      </c>
      <c r="F119" s="8">
        <v>11000</v>
      </c>
      <c r="G119" s="8">
        <f t="shared" si="37"/>
        <v>14</v>
      </c>
      <c r="H119" s="6">
        <f t="shared" si="30"/>
        <v>11000</v>
      </c>
      <c r="I119" s="6">
        <f t="shared" si="31"/>
        <v>11000</v>
      </c>
    </row>
    <row r="120" spans="1:9" x14ac:dyDescent="0.2">
      <c r="B120" s="2" t="s">
        <v>82</v>
      </c>
      <c r="C120" s="2" t="s">
        <v>89</v>
      </c>
      <c r="D120" s="3" t="s">
        <v>87</v>
      </c>
      <c r="E120" s="8">
        <f>(80000*0.05)+(33000*1.23*0.15)</f>
        <v>10088.5</v>
      </c>
      <c r="F120" s="8">
        <f>(80000*0.05)+(33000*1.23*0.15)</f>
        <v>10088.5</v>
      </c>
      <c r="G120" s="8">
        <f t="shared" si="37"/>
        <v>14</v>
      </c>
      <c r="H120" s="6">
        <f t="shared" si="30"/>
        <v>10088.5</v>
      </c>
      <c r="I120" s="6">
        <f t="shared" si="31"/>
        <v>10088.5</v>
      </c>
    </row>
    <row r="121" spans="1:9" x14ac:dyDescent="0.2">
      <c r="A121" s="7">
        <v>15</v>
      </c>
      <c r="B121" s="2" t="s">
        <v>79</v>
      </c>
      <c r="C121" s="2" t="s">
        <v>32</v>
      </c>
      <c r="D121" s="3" t="s">
        <v>90</v>
      </c>
      <c r="E121" s="8">
        <v>5</v>
      </c>
      <c r="F121" s="8">
        <v>5</v>
      </c>
      <c r="G121" s="8">
        <f t="shared" si="37"/>
        <v>15</v>
      </c>
      <c r="H121" s="6">
        <f t="shared" si="30"/>
        <v>5</v>
      </c>
      <c r="I121" s="6">
        <f t="shared" si="31"/>
        <v>5</v>
      </c>
    </row>
    <row r="123" spans="1:9" x14ac:dyDescent="0.2">
      <c r="E123" s="8" t="str">
        <f t="shared" si="35"/>
        <v/>
      </c>
      <c r="F123" s="8" t="str">
        <f t="shared" si="36"/>
        <v/>
      </c>
      <c r="G123" s="8">
        <f t="shared" si="37"/>
        <v>15</v>
      </c>
      <c r="H123" s="6" t="str">
        <f t="shared" si="30"/>
        <v>-</v>
      </c>
      <c r="I123" s="6" t="str">
        <f t="shared" si="31"/>
        <v>-</v>
      </c>
    </row>
    <row r="124" spans="1:9" x14ac:dyDescent="0.2">
      <c r="E124" s="8" t="str">
        <f t="shared" si="35"/>
        <v/>
      </c>
      <c r="F124" s="8" t="str">
        <f t="shared" si="36"/>
        <v/>
      </c>
      <c r="G124" s="8">
        <f t="shared" si="37"/>
        <v>15</v>
      </c>
      <c r="H124" s="6" t="str">
        <f t="shared" si="30"/>
        <v>-</v>
      </c>
      <c r="I124" s="6" t="str">
        <f t="shared" si="31"/>
        <v>-</v>
      </c>
    </row>
    <row r="125" spans="1:9" x14ac:dyDescent="0.2">
      <c r="E125" s="8" t="str">
        <f t="shared" si="35"/>
        <v/>
      </c>
      <c r="F125" s="8" t="str">
        <f t="shared" si="36"/>
        <v/>
      </c>
      <c r="G125" s="8">
        <f t="shared" si="37"/>
        <v>15</v>
      </c>
      <c r="H125" s="6" t="str">
        <f t="shared" si="30"/>
        <v>-</v>
      </c>
      <c r="I125" s="6" t="str">
        <f t="shared" si="31"/>
        <v>-</v>
      </c>
    </row>
    <row r="126" spans="1:9" x14ac:dyDescent="0.2">
      <c r="E126" s="8" t="str">
        <f t="shared" si="35"/>
        <v/>
      </c>
      <c r="F126" s="8" t="str">
        <f t="shared" si="36"/>
        <v/>
      </c>
      <c r="G126" s="8">
        <f t="shared" si="37"/>
        <v>15</v>
      </c>
      <c r="H126" s="6" t="str">
        <f t="shared" si="30"/>
        <v>-</v>
      </c>
      <c r="I126" s="6" t="str">
        <f t="shared" si="31"/>
        <v>-</v>
      </c>
    </row>
    <row r="127" spans="1:9" x14ac:dyDescent="0.2">
      <c r="E127" s="8" t="str">
        <f t="shared" si="35"/>
        <v/>
      </c>
      <c r="F127" s="8" t="str">
        <f t="shared" si="36"/>
        <v/>
      </c>
      <c r="G127" s="8">
        <f t="shared" si="37"/>
        <v>15</v>
      </c>
      <c r="H127" s="6" t="str">
        <f t="shared" si="30"/>
        <v>-</v>
      </c>
      <c r="I127" s="6" t="str">
        <f t="shared" si="31"/>
        <v>-</v>
      </c>
    </row>
    <row r="128" spans="1:9" x14ac:dyDescent="0.2">
      <c r="E128" s="8" t="str">
        <f t="shared" si="35"/>
        <v/>
      </c>
      <c r="F128" s="8" t="str">
        <f t="shared" si="36"/>
        <v/>
      </c>
      <c r="G128" s="8">
        <f t="shared" si="37"/>
        <v>15</v>
      </c>
      <c r="H128" s="6" t="str">
        <f t="shared" si="30"/>
        <v>-</v>
      </c>
      <c r="I128" s="6" t="str">
        <f t="shared" si="31"/>
        <v>-</v>
      </c>
    </row>
    <row r="129" spans="5:9" x14ac:dyDescent="0.2">
      <c r="E129" s="8" t="str">
        <f t="shared" si="35"/>
        <v/>
      </c>
      <c r="F129" s="8" t="str">
        <f t="shared" si="36"/>
        <v/>
      </c>
      <c r="G129" s="8">
        <f t="shared" si="37"/>
        <v>15</v>
      </c>
      <c r="H129" s="6" t="str">
        <f t="shared" si="30"/>
        <v>-</v>
      </c>
      <c r="I129" s="6" t="str">
        <f t="shared" si="31"/>
        <v>-</v>
      </c>
    </row>
    <row r="130" spans="5:9" x14ac:dyDescent="0.2">
      <c r="E130" s="8" t="str">
        <f>IF(
IF(ISBLANK(G130),"",
IF(G130&lt;&gt;G131,
IF(G130&lt;&gt;G129,"",
IF(G130&lt;&gt;G128,IF(SUM(E129:E129)&gt;SUM(F129:F129),"",SUM(F129:F129)-SUM(E129:E129)),
IF(G130&lt;&gt;G127,IF(SUM(E128:E129)&gt;SUM(F128:F129),"",SUM(F128:F129)-SUM(E128:E129)),
IF(G130&lt;&gt;G126,IF(SUM(E127:E129)&gt;SUM(F127:F129),"",SUM(F127:F129)-SUM(E127:E129)),
IF(G130&lt;&gt;G125,IF(SUM(E126:E129)&gt;SUM(F126:F129),"",SUM(F126:F129)-SUM(E126:E129)),
IF(G130&lt;&gt;G124,IF(SUM(E125:E129)&gt;SUM(F125:F129),"",SUM(F125:F129)-SUM(E125:E129)),
"après 6ème ligne")))))),""))&gt;0,IF(ISBLANK(G130),"",
IF(G130&lt;&gt;G131,
IF(G130&lt;&gt;G129,"",
IF(G130&lt;&gt;G128,IF(SUM(E129:E129)&gt;SUM(F129:F129),"",SUM(F129:F129)-SUM(E129:E129)),
IF(G130&lt;&gt;G127,IF(SUM(E128:E129)&gt;SUM(F128:F129),"",SUM(F128:F129)-SUM(E128:E129)),
IF(G130&lt;&gt;G126,IF(SUM(E127:E129)&gt;SUM(F127:F129),"",SUM(F127:F129)-SUM(E127:E129)),
IF(G130&lt;&gt;G125,IF(SUM(E126:E129)&gt;SUM(F126:F129),"",SUM(F126:F129)-SUM(E126:E129)),
IF(G130&lt;&gt;G124,IF(SUM(E125:E129)&gt;SUM(F125:F129),"",SUM(F125:F129)-SUM(E125:E129)),
"après 6ème ligne")))))),"")),"")</f>
        <v/>
      </c>
      <c r="F130" s="8" t="str">
        <f>IF(
IF(ISBLANK(G130),"",
IF(G130&lt;&gt;G131,
IF(G130&lt;&gt;G129,"",
IF(G130&lt;&gt;G128,IF(SUM(E129:E129)&lt;SUM(F129:F129),"",SUM(E129:E129)-SUM(F129:F129)),
IF(G130&lt;&gt;G127,IF(SUM(E128:E129)&lt;SUM(F128:F129),"",SUM(E128:E129)-SUM(F128:F129)),
IF(G130&lt;&gt;G126,IF(SUM(E127:E129)&lt;SUM(F127:F129),"",SUM(E127:E129)-SUM(F127:F129)),
IF(G130&lt;&gt;G125,IF(SUM(E126:E129)&lt;SUM(F126:F129),"",SUM(E126:E129)-SUM(F126:F129)),
IF(G130&lt;&gt;G124,IF(SUM(E125:E129)&lt;SUM(F125:F129),"",SUM(E125:E129)-SUM(F125:F129)),
"après 6ème ligne")))))),""))&gt;0,IF(ISBLANK(G130),"",
IF(G130&lt;&gt;G131,
IF(G130&lt;&gt;G129,"",
IF(G130&lt;&gt;G128,IF(SUM(E129:E129)&lt;SUM(F129:F129),"",SUM(E129:E129)-SUM(F129:F129)),
IF(G130&lt;&gt;G127,IF(SUM(E128:E129)&lt;SUM(F128:F129),"",SUM(E128:E129)-SUM(F128:F129)),
IF(G130&lt;&gt;G126,IF(SUM(E127:E129)&lt;SUM(F127:F129),"",SUM(E127:E129)-SUM(F127:F129)),
IF(G130&lt;&gt;G125,IF(SUM(E126:E129)&lt;SUM(F126:F129),"",SUM(E126:E129)-SUM(F126:F129)),
IF(G130&lt;&gt;G124,IF(SUM(E125:E129)&lt;SUM(F125:F129),"",SUM(E125:E129)-SUM(F125:F129)),
"après 6ème ligne")))))),"")),"")</f>
        <v/>
      </c>
      <c r="G130" s="8">
        <f t="shared" si="37"/>
        <v>15</v>
      </c>
      <c r="H130" s="6" t="str">
        <f t="shared" si="30"/>
        <v>-</v>
      </c>
      <c r="I130" s="6" t="str">
        <f t="shared" si="31"/>
        <v>-</v>
      </c>
    </row>
    <row r="131" spans="5:9" x14ac:dyDescent="0.2">
      <c r="E131" s="8" t="str">
        <f t="shared" si="35"/>
        <v>après 6ème ligne</v>
      </c>
      <c r="F131" s="8" t="str">
        <f>IF(
IF(ISBLANK(G131),"",
IF(G131&lt;&gt;G132,
IF(G131&lt;&gt;G130,"",
IF(G131&lt;&gt;G129,IF(SUM(E130:E130)&lt;SUM(F130:F130),"",SUM(E130:E130)-SUM(F130:F130)),
IF(G131&lt;&gt;G128,IF(SUM(E129:E130)&lt;SUM(F129:F130),"",SUM(E129:E130)-SUM(F129:F130)),
IF(G131&lt;&gt;G127,IF(SUM(E128:E130)&lt;SUM(F128:F130),"",SUM(E128:E130)-SUM(F128:F130)),
IF(G131&lt;&gt;G126,IF(SUM(E127:E130)&lt;SUM(F127:F130),"",SUM(E127:E130)-SUM(F127:F130)),
IF(G131&lt;&gt;G125,IF(SUM(E126:E130)&lt;SUM(F126:F130),"",SUM(E126:E130)-SUM(F126:F130)),
"après 6ème ligne")))))),""))&gt;0,IF(ISBLANK(G131),"",
IF(G131&lt;&gt;G132,
IF(G131&lt;&gt;G130,"",
IF(G131&lt;&gt;G129,IF(SUM(E130:E130)&lt;SUM(F130:F130),"",SUM(E130:E130)-SUM(F130:F130)),
IF(G131&lt;&gt;G128,IF(SUM(E129:E130)&lt;SUM(F129:F130),"",SUM(E129:E130)-SUM(F129:F130)),
IF(G131&lt;&gt;G127,IF(SUM(E128:E130)&lt;SUM(F128:F130),"",SUM(E128:E130)-SUM(F128:F130)),
IF(G131&lt;&gt;G126,IF(SUM(E127:E130)&lt;SUM(F127:F130),"",SUM(E127:E130)-SUM(F127:F130)),
IF(G131&lt;&gt;G125,IF(SUM(E126:E130)&lt;SUM(F126:F130),"",SUM(E126:E130)-SUM(F126:F130)),
"après 6ème ligne")))))),"")),"")</f>
        <v>après 6ème ligne</v>
      </c>
      <c r="G131" s="8">
        <f t="shared" si="37"/>
        <v>15</v>
      </c>
      <c r="H131" s="6" t="str">
        <f t="shared" si="30"/>
        <v>-</v>
      </c>
      <c r="I131" s="6" t="str">
        <f t="shared" si="31"/>
        <v>-</v>
      </c>
    </row>
  </sheetData>
  <mergeCells count="1">
    <mergeCell ref="D3:D5"/>
  </mergeCells>
  <pageMargins left="0.25" right="0.25" top="0.75" bottom="0.75" header="0.3" footer="0.3"/>
  <pageSetup paperSize="9" orientation="portrait" r:id="rId1"/>
  <headerFooter>
    <oddHeader>&amp;RIMIMc</oddHeader>
    <oddFooter>&amp;L(C) Yannick Bravo</oddFooter>
  </headerFooter>
  <ignoredErrors>
    <ignoredError sqref="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user</cp:lastModifiedBy>
  <cp:lastPrinted>2018-02-07T17:14:44Z</cp:lastPrinted>
  <dcterms:created xsi:type="dcterms:W3CDTF">2018-02-01T08:22:29Z</dcterms:created>
  <dcterms:modified xsi:type="dcterms:W3CDTF">2019-01-15T14:38:18Z</dcterms:modified>
</cp:coreProperties>
</file>